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9856\AppData\Local\rubicon\Acta Nova Client\Data\955177616\"/>
    </mc:Choice>
  </mc:AlternateContent>
  <xr:revisionPtr revIDLastSave="0" documentId="13_ncr:1_{3D10B5D0-8AC6-48A4-AEFA-C93D38264744}" xr6:coauthVersionLast="47" xr6:coauthVersionMax="47" xr10:uidLastSave="{00000000-0000-0000-0000-000000000000}"/>
  <workbookProtection workbookAlgorithmName="SHA-512" workbookHashValue="b+7SYwCgC054WtKRoSA9RwIMuG6iqFc1mQwjJFQVupTyu9Zdl6mF/vO9tJqciaygJQdEG7zMMdhiNVumWxWRgw==" workbookSaltValue="YnWxbI1RSxDvZUT6D40sbg==" workbookSpinCount="100000" lockStructure="1"/>
  <bookViews>
    <workbookView xWindow="-120" yWindow="-120" windowWidth="29040" windowHeight="15720" xr2:uid="{00000000-000D-0000-FFFF-FFFF00000000}"/>
  </bookViews>
  <sheets>
    <sheet name="Liste" sheetId="1" r:id="rId1"/>
    <sheet name="Y" sheetId="4" state="hidden" r:id="rId2"/>
    <sheet name="Z" sheetId="3" state="hidden" r:id="rId3"/>
  </sheets>
  <definedNames>
    <definedName name="Trad">Y!$B$1:$D$60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3" i="1" l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K102" i="1"/>
  <c r="AK103" i="1"/>
  <c r="AK104" i="1"/>
  <c r="AK105" i="1"/>
  <c r="AK106" i="1"/>
  <c r="AK107" i="1"/>
  <c r="AK108" i="1"/>
  <c r="AK109" i="1"/>
  <c r="AK110" i="1"/>
  <c r="AK111" i="1"/>
  <c r="AK12" i="1"/>
  <c r="AJ12" i="1"/>
  <c r="AL12" i="1" l="1"/>
  <c r="AT13" i="1" l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99" i="1"/>
  <c r="AT100" i="1"/>
  <c r="AT101" i="1"/>
  <c r="AT102" i="1"/>
  <c r="AT103" i="1"/>
  <c r="AT104" i="1"/>
  <c r="AT105" i="1"/>
  <c r="AT106" i="1"/>
  <c r="AT107" i="1"/>
  <c r="AT108" i="1"/>
  <c r="AT109" i="1"/>
  <c r="AT110" i="1"/>
  <c r="AT111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2" i="1"/>
  <c r="AP13" i="1"/>
  <c r="AQ13" i="1" s="1"/>
  <c r="AP14" i="1"/>
  <c r="AQ14" i="1" s="1"/>
  <c r="AP15" i="1"/>
  <c r="AQ15" i="1" s="1"/>
  <c r="AP16" i="1"/>
  <c r="AQ16" i="1" s="1"/>
  <c r="AP17" i="1"/>
  <c r="AQ17" i="1" s="1"/>
  <c r="AP18" i="1"/>
  <c r="AQ18" i="1" s="1"/>
  <c r="AP19" i="1"/>
  <c r="AQ19" i="1" s="1"/>
  <c r="AP20" i="1"/>
  <c r="AQ20" i="1" s="1"/>
  <c r="AP21" i="1"/>
  <c r="AQ21" i="1" s="1"/>
  <c r="AP22" i="1"/>
  <c r="AQ22" i="1" s="1"/>
  <c r="AP23" i="1"/>
  <c r="AQ23" i="1" s="1"/>
  <c r="AP24" i="1"/>
  <c r="AQ24" i="1" s="1"/>
  <c r="AP25" i="1"/>
  <c r="AQ25" i="1" s="1"/>
  <c r="AP26" i="1"/>
  <c r="AQ26" i="1" s="1"/>
  <c r="AP27" i="1"/>
  <c r="AQ27" i="1" s="1"/>
  <c r="AP28" i="1"/>
  <c r="AQ28" i="1" s="1"/>
  <c r="AP29" i="1"/>
  <c r="AQ29" i="1" s="1"/>
  <c r="AP30" i="1"/>
  <c r="AQ30" i="1" s="1"/>
  <c r="AP31" i="1"/>
  <c r="AQ31" i="1" s="1"/>
  <c r="AP32" i="1"/>
  <c r="AQ32" i="1" s="1"/>
  <c r="AP33" i="1"/>
  <c r="AQ33" i="1" s="1"/>
  <c r="AP34" i="1"/>
  <c r="AQ34" i="1" s="1"/>
  <c r="AP35" i="1"/>
  <c r="AQ35" i="1" s="1"/>
  <c r="AP36" i="1"/>
  <c r="AQ36" i="1" s="1"/>
  <c r="AP37" i="1"/>
  <c r="AQ37" i="1" s="1"/>
  <c r="AP38" i="1"/>
  <c r="AQ38" i="1" s="1"/>
  <c r="AP39" i="1"/>
  <c r="AQ39" i="1" s="1"/>
  <c r="AP40" i="1"/>
  <c r="AQ40" i="1" s="1"/>
  <c r="AP41" i="1"/>
  <c r="AQ41" i="1" s="1"/>
  <c r="AP42" i="1"/>
  <c r="AQ42" i="1" s="1"/>
  <c r="AP43" i="1"/>
  <c r="AQ43" i="1" s="1"/>
  <c r="AP44" i="1"/>
  <c r="AQ44" i="1" s="1"/>
  <c r="AP45" i="1"/>
  <c r="AQ45" i="1" s="1"/>
  <c r="AP46" i="1"/>
  <c r="AQ46" i="1" s="1"/>
  <c r="AP47" i="1"/>
  <c r="AQ47" i="1" s="1"/>
  <c r="AP48" i="1"/>
  <c r="AQ48" i="1" s="1"/>
  <c r="AP49" i="1"/>
  <c r="AQ49" i="1" s="1"/>
  <c r="AP50" i="1"/>
  <c r="AQ50" i="1" s="1"/>
  <c r="AP51" i="1"/>
  <c r="AQ51" i="1" s="1"/>
  <c r="AP52" i="1"/>
  <c r="AQ52" i="1" s="1"/>
  <c r="AP53" i="1"/>
  <c r="AQ53" i="1" s="1"/>
  <c r="AP54" i="1"/>
  <c r="AQ54" i="1" s="1"/>
  <c r="AP55" i="1"/>
  <c r="AQ55" i="1" s="1"/>
  <c r="AP56" i="1"/>
  <c r="AQ56" i="1" s="1"/>
  <c r="AP57" i="1"/>
  <c r="AQ57" i="1" s="1"/>
  <c r="AP58" i="1"/>
  <c r="AQ58" i="1" s="1"/>
  <c r="AP59" i="1"/>
  <c r="AQ59" i="1" s="1"/>
  <c r="AP60" i="1"/>
  <c r="AQ60" i="1" s="1"/>
  <c r="AP61" i="1"/>
  <c r="AQ61" i="1" s="1"/>
  <c r="AP62" i="1"/>
  <c r="AQ62" i="1" s="1"/>
  <c r="AP63" i="1"/>
  <c r="AQ63" i="1" s="1"/>
  <c r="AP64" i="1"/>
  <c r="AQ64" i="1" s="1"/>
  <c r="AP65" i="1"/>
  <c r="AQ65" i="1" s="1"/>
  <c r="AP66" i="1"/>
  <c r="AQ66" i="1" s="1"/>
  <c r="AP67" i="1"/>
  <c r="AQ67" i="1" s="1"/>
  <c r="AP68" i="1"/>
  <c r="AQ68" i="1" s="1"/>
  <c r="AP69" i="1"/>
  <c r="AQ69" i="1" s="1"/>
  <c r="AP70" i="1"/>
  <c r="AQ70" i="1" s="1"/>
  <c r="AP71" i="1"/>
  <c r="AQ71" i="1" s="1"/>
  <c r="AP72" i="1"/>
  <c r="AQ72" i="1" s="1"/>
  <c r="AP73" i="1"/>
  <c r="AQ73" i="1" s="1"/>
  <c r="AP74" i="1"/>
  <c r="AQ74" i="1" s="1"/>
  <c r="AP75" i="1"/>
  <c r="AQ75" i="1" s="1"/>
  <c r="AP76" i="1"/>
  <c r="AQ76" i="1" s="1"/>
  <c r="AP77" i="1"/>
  <c r="AQ77" i="1" s="1"/>
  <c r="AP78" i="1"/>
  <c r="AQ78" i="1" s="1"/>
  <c r="AP79" i="1"/>
  <c r="AQ79" i="1" s="1"/>
  <c r="AP80" i="1"/>
  <c r="AQ80" i="1" s="1"/>
  <c r="AP81" i="1"/>
  <c r="AQ81" i="1" s="1"/>
  <c r="AP82" i="1"/>
  <c r="AQ82" i="1" s="1"/>
  <c r="AP83" i="1"/>
  <c r="AQ83" i="1" s="1"/>
  <c r="AP84" i="1"/>
  <c r="AQ84" i="1" s="1"/>
  <c r="AP85" i="1"/>
  <c r="AQ85" i="1" s="1"/>
  <c r="AP86" i="1"/>
  <c r="AQ86" i="1" s="1"/>
  <c r="AP87" i="1"/>
  <c r="AQ87" i="1" s="1"/>
  <c r="AP88" i="1"/>
  <c r="AQ88" i="1" s="1"/>
  <c r="AP89" i="1"/>
  <c r="AQ89" i="1" s="1"/>
  <c r="AP90" i="1"/>
  <c r="AQ90" i="1" s="1"/>
  <c r="AP91" i="1"/>
  <c r="AQ91" i="1" s="1"/>
  <c r="AP92" i="1"/>
  <c r="AQ92" i="1" s="1"/>
  <c r="AP93" i="1"/>
  <c r="AQ93" i="1" s="1"/>
  <c r="AP94" i="1"/>
  <c r="AQ94" i="1" s="1"/>
  <c r="AP95" i="1"/>
  <c r="AQ95" i="1" s="1"/>
  <c r="AP96" i="1"/>
  <c r="AQ96" i="1" s="1"/>
  <c r="AP97" i="1"/>
  <c r="AQ97" i="1" s="1"/>
  <c r="AP98" i="1"/>
  <c r="AQ98" i="1" s="1"/>
  <c r="AP99" i="1"/>
  <c r="AQ99" i="1" s="1"/>
  <c r="AP100" i="1"/>
  <c r="AQ100" i="1" s="1"/>
  <c r="AP101" i="1"/>
  <c r="AQ101" i="1" s="1"/>
  <c r="AP102" i="1"/>
  <c r="AQ102" i="1" s="1"/>
  <c r="AP103" i="1"/>
  <c r="AQ103" i="1" s="1"/>
  <c r="AP104" i="1"/>
  <c r="AQ104" i="1" s="1"/>
  <c r="AP105" i="1"/>
  <c r="AQ105" i="1" s="1"/>
  <c r="AP106" i="1"/>
  <c r="AQ106" i="1" s="1"/>
  <c r="AP107" i="1"/>
  <c r="AQ107" i="1" s="1"/>
  <c r="AP108" i="1"/>
  <c r="AQ108" i="1" s="1"/>
  <c r="AP109" i="1"/>
  <c r="AQ109" i="1" s="1"/>
  <c r="AP110" i="1"/>
  <c r="AQ110" i="1" s="1"/>
  <c r="AP111" i="1"/>
  <c r="AQ111" i="1" s="1"/>
  <c r="AP12" i="1"/>
  <c r="AQ12" i="1" s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2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D12" i="1" l="1"/>
  <c r="AU12" i="1"/>
  <c r="AT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F20" i="1" l="1"/>
  <c r="AG20" i="1" s="1"/>
  <c r="AF60" i="1"/>
  <c r="AF84" i="1"/>
  <c r="AG84" i="1" s="1"/>
  <c r="AF68" i="1"/>
  <c r="AF13" i="1"/>
  <c r="AG13" i="1" s="1"/>
  <c r="AF37" i="1"/>
  <c r="AG37" i="1" s="1"/>
  <c r="AF76" i="1"/>
  <c r="AF45" i="1"/>
  <c r="AG45" i="1" s="1"/>
  <c r="AF92" i="1"/>
  <c r="AG92" i="1" s="1"/>
  <c r="AF61" i="1"/>
  <c r="AG61" i="1" s="1"/>
  <c r="AF26" i="1"/>
  <c r="AF90" i="1"/>
  <c r="AF32" i="1"/>
  <c r="AG32" i="1" s="1"/>
  <c r="AF51" i="1"/>
  <c r="AG51" i="1" s="1"/>
  <c r="AF16" i="1"/>
  <c r="AG16" i="1" s="1"/>
  <c r="AF22" i="1"/>
  <c r="AG22" i="1" s="1"/>
  <c r="AF86" i="1"/>
  <c r="AG86" i="1" s="1"/>
  <c r="AF111" i="1"/>
  <c r="AG111" i="1" s="1"/>
  <c r="AF103" i="1"/>
  <c r="AG103" i="1" s="1"/>
  <c r="AF95" i="1"/>
  <c r="AG95" i="1" s="1"/>
  <c r="AF87" i="1"/>
  <c r="AF79" i="1"/>
  <c r="AG79" i="1" s="1"/>
  <c r="AF71" i="1"/>
  <c r="AF63" i="1"/>
  <c r="AG63" i="1" s="1"/>
  <c r="AF55" i="1"/>
  <c r="AG55" i="1" s="1"/>
  <c r="AF47" i="1"/>
  <c r="AF39" i="1"/>
  <c r="AG39" i="1" s="1"/>
  <c r="AF31" i="1"/>
  <c r="AG31" i="1" s="1"/>
  <c r="AF23" i="1"/>
  <c r="AF15" i="1"/>
  <c r="AG15" i="1" s="1"/>
  <c r="AF34" i="1"/>
  <c r="AG34" i="1" s="1"/>
  <c r="AF98" i="1"/>
  <c r="AG98" i="1" s="1"/>
  <c r="AF56" i="1"/>
  <c r="AG56" i="1" s="1"/>
  <c r="AF59" i="1"/>
  <c r="AF96" i="1"/>
  <c r="AF72" i="1"/>
  <c r="AF69" i="1"/>
  <c r="AG69" i="1" s="1"/>
  <c r="AF30" i="1"/>
  <c r="AG30" i="1" s="1"/>
  <c r="AF94" i="1"/>
  <c r="AF42" i="1"/>
  <c r="AG42" i="1" s="1"/>
  <c r="AF106" i="1"/>
  <c r="AG106" i="1" s="1"/>
  <c r="AF64" i="1"/>
  <c r="AF67" i="1"/>
  <c r="AF77" i="1"/>
  <c r="AG77" i="1" s="1"/>
  <c r="AF38" i="1"/>
  <c r="AF102" i="1"/>
  <c r="AG102" i="1" s="1"/>
  <c r="AF50" i="1"/>
  <c r="AF36" i="1"/>
  <c r="AG36" i="1" s="1"/>
  <c r="AF88" i="1"/>
  <c r="AG88" i="1" s="1"/>
  <c r="AF75" i="1"/>
  <c r="AF28" i="1"/>
  <c r="AF21" i="1"/>
  <c r="AG21" i="1" s="1"/>
  <c r="AF85" i="1"/>
  <c r="AG85" i="1" s="1"/>
  <c r="AF46" i="1"/>
  <c r="AG46" i="1" s="1"/>
  <c r="AF110" i="1"/>
  <c r="AG110" i="1" s="1"/>
  <c r="AF97" i="1"/>
  <c r="AG97" i="1" s="1"/>
  <c r="AF58" i="1"/>
  <c r="AF52" i="1"/>
  <c r="AG52" i="1" s="1"/>
  <c r="AF19" i="1"/>
  <c r="AG19" i="1" s="1"/>
  <c r="AF83" i="1"/>
  <c r="AG83" i="1" s="1"/>
  <c r="AF44" i="1"/>
  <c r="AG44" i="1" s="1"/>
  <c r="AF29" i="1"/>
  <c r="AG29" i="1" s="1"/>
  <c r="AF93" i="1"/>
  <c r="AG93" i="1" s="1"/>
  <c r="AF54" i="1"/>
  <c r="AG54" i="1" s="1"/>
  <c r="AF24" i="1"/>
  <c r="AG24" i="1" s="1"/>
  <c r="AF66" i="1"/>
  <c r="AG66" i="1" s="1"/>
  <c r="AF27" i="1"/>
  <c r="AG27" i="1" s="1"/>
  <c r="AF91" i="1"/>
  <c r="AG91" i="1" s="1"/>
  <c r="AF101" i="1"/>
  <c r="AG101" i="1" s="1"/>
  <c r="AF62" i="1"/>
  <c r="AG62" i="1" s="1"/>
  <c r="AF48" i="1"/>
  <c r="AG48" i="1" s="1"/>
  <c r="AF12" i="1"/>
  <c r="AF40" i="1"/>
  <c r="AG40" i="1" s="1"/>
  <c r="AF74" i="1"/>
  <c r="AG74" i="1" s="1"/>
  <c r="AF35" i="1"/>
  <c r="AG35" i="1" s="1"/>
  <c r="AF99" i="1"/>
  <c r="AG99" i="1" s="1"/>
  <c r="AF109" i="1"/>
  <c r="AF70" i="1"/>
  <c r="AG70" i="1" s="1"/>
  <c r="AF80" i="1"/>
  <c r="AF105" i="1"/>
  <c r="AG105" i="1" s="1"/>
  <c r="AF89" i="1"/>
  <c r="AG89" i="1" s="1"/>
  <c r="AF81" i="1"/>
  <c r="AG81" i="1" s="1"/>
  <c r="AF73" i="1"/>
  <c r="AF65" i="1"/>
  <c r="AF57" i="1"/>
  <c r="AF49" i="1"/>
  <c r="AG49" i="1" s="1"/>
  <c r="AF41" i="1"/>
  <c r="AF33" i="1"/>
  <c r="AG33" i="1" s="1"/>
  <c r="AF25" i="1"/>
  <c r="AG25" i="1" s="1"/>
  <c r="AF17" i="1"/>
  <c r="AG17" i="1" s="1"/>
  <c r="AF18" i="1"/>
  <c r="AG18" i="1" s="1"/>
  <c r="AF82" i="1"/>
  <c r="AF108" i="1"/>
  <c r="AF43" i="1"/>
  <c r="AG43" i="1" s="1"/>
  <c r="AF107" i="1"/>
  <c r="AF100" i="1"/>
  <c r="AG100" i="1" s="1"/>
  <c r="AF53" i="1"/>
  <c r="AG53" i="1" s="1"/>
  <c r="AF14" i="1"/>
  <c r="AG14" i="1" s="1"/>
  <c r="AF78" i="1"/>
  <c r="AG78" i="1" s="1"/>
  <c r="AF104" i="1"/>
  <c r="AJ82" i="1"/>
  <c r="AL82" i="1" s="1"/>
  <c r="AJ74" i="1"/>
  <c r="AL74" i="1" s="1"/>
  <c r="AJ21" i="1"/>
  <c r="AL21" i="1" s="1"/>
  <c r="AJ68" i="1"/>
  <c r="AL68" i="1" s="1"/>
  <c r="AJ14" i="1"/>
  <c r="AL14" i="1" s="1"/>
  <c r="AJ98" i="1"/>
  <c r="AL98" i="1" s="1"/>
  <c r="AJ30" i="1"/>
  <c r="AL30" i="1" s="1"/>
  <c r="AJ78" i="1"/>
  <c r="AL78" i="1" s="1"/>
  <c r="AJ89" i="1"/>
  <c r="AL89" i="1" s="1"/>
  <c r="AJ92" i="1"/>
  <c r="AL92" i="1" s="1"/>
  <c r="AJ100" i="1"/>
  <c r="AL100" i="1" s="1"/>
  <c r="AY14" i="1" a="1"/>
  <c r="AY14" i="1" s="1"/>
  <c r="AV15" i="1" a="1"/>
  <c r="AV15" i="1" s="1"/>
  <c r="AV17" i="1" a="1"/>
  <c r="AV17" i="1" s="1"/>
  <c r="AV18" i="1" a="1"/>
  <c r="AV18" i="1" s="1"/>
  <c r="AV19" i="1" a="1"/>
  <c r="AV19" i="1" s="1"/>
  <c r="AV20" i="1" a="1"/>
  <c r="AV20" i="1" s="1"/>
  <c r="AY21" i="1" a="1"/>
  <c r="AY21" i="1" s="1"/>
  <c r="AV22" i="1" a="1"/>
  <c r="AV22" i="1" s="1"/>
  <c r="AX23" i="1" a="1"/>
  <c r="AX23" i="1" s="1"/>
  <c r="AV25" i="1" a="1"/>
  <c r="AV25" i="1" s="1"/>
  <c r="AY26" i="1" a="1"/>
  <c r="AY26" i="1" s="1"/>
  <c r="AV27" i="1" a="1"/>
  <c r="AV27" i="1" s="1"/>
  <c r="AY28" i="1" a="1"/>
  <c r="AY28" i="1" s="1"/>
  <c r="AV29" i="1" a="1"/>
  <c r="AV29" i="1" s="1"/>
  <c r="AW30" i="1" a="1"/>
  <c r="AW30" i="1" s="1"/>
  <c r="AV31" i="1" a="1"/>
  <c r="AV31" i="1" s="1"/>
  <c r="AY33" i="1" a="1"/>
  <c r="AY33" i="1" s="1"/>
  <c r="AV34" i="1" a="1"/>
  <c r="AV34" i="1" s="1"/>
  <c r="AX35" i="1" a="1"/>
  <c r="AX35" i="1" s="1"/>
  <c r="AV36" i="1" a="1"/>
  <c r="AV36" i="1" s="1"/>
  <c r="AW37" i="1" a="1"/>
  <c r="AW37" i="1" s="1"/>
  <c r="AV38" i="1" a="1"/>
  <c r="AV38" i="1" s="1"/>
  <c r="AV39" i="1" a="1"/>
  <c r="AV39" i="1" s="1"/>
  <c r="AV41" i="1" a="1"/>
  <c r="AV41" i="1" s="1"/>
  <c r="AW42" i="1" a="1"/>
  <c r="AW42" i="1" s="1"/>
  <c r="AV43" i="1" a="1"/>
  <c r="AV43" i="1" s="1"/>
  <c r="AW44" i="1" a="1"/>
  <c r="AW44" i="1" s="1"/>
  <c r="AY45" i="1" a="1"/>
  <c r="AY45" i="1" s="1"/>
  <c r="AV46" i="1" a="1"/>
  <c r="AV46" i="1" s="1"/>
  <c r="AY47" i="1" a="1"/>
  <c r="AY47" i="1" s="1"/>
  <c r="AW49" i="1" a="1"/>
  <c r="AW49" i="1" s="1"/>
  <c r="AV50" i="1" a="1"/>
  <c r="AV50" i="1" s="1"/>
  <c r="AV51" i="1" a="1"/>
  <c r="AV51" i="1" s="1"/>
  <c r="AY52" i="1" a="1"/>
  <c r="AY52" i="1" s="1"/>
  <c r="AV53" i="1" a="1"/>
  <c r="AV53" i="1" s="1"/>
  <c r="AX54" i="1" a="1"/>
  <c r="AX54" i="1" s="1"/>
  <c r="AV55" i="1" a="1"/>
  <c r="AV55" i="1" s="1"/>
  <c r="AY57" i="1" a="1"/>
  <c r="AY57" i="1" s="1"/>
  <c r="AV58" i="1" a="1"/>
  <c r="AV58" i="1" s="1"/>
  <c r="AY59" i="1" a="1"/>
  <c r="AY59" i="1" s="1"/>
  <c r="AV60" i="1" a="1"/>
  <c r="AV60" i="1" s="1"/>
  <c r="AX61" i="1" a="1"/>
  <c r="AX61" i="1" s="1"/>
  <c r="AV62" i="1" a="1"/>
  <c r="AV62" i="1" s="1"/>
  <c r="AX63" i="1" a="1"/>
  <c r="AX63" i="1" s="1"/>
  <c r="AY64" i="1" a="1"/>
  <c r="AY64" i="1" s="1"/>
  <c r="AV65" i="1" a="1"/>
  <c r="AV65" i="1" s="1"/>
  <c r="AY66" i="1" a="1"/>
  <c r="AY66" i="1" s="1"/>
  <c r="AV67" i="1" a="1"/>
  <c r="AV67" i="1" s="1"/>
  <c r="AY68" i="1" a="1"/>
  <c r="AY68" i="1" s="1"/>
  <c r="AV69" i="1" a="1"/>
  <c r="AV69" i="1" s="1"/>
  <c r="AX70" i="1" a="1"/>
  <c r="AX70" i="1" s="1"/>
  <c r="AV71" i="1" a="1"/>
  <c r="AV71" i="1" s="1"/>
  <c r="AY73" i="1" a="1"/>
  <c r="AY73" i="1" s="1"/>
  <c r="AV74" i="1" a="1"/>
  <c r="AV74" i="1" s="1"/>
  <c r="AY75" i="1" a="1"/>
  <c r="AY75" i="1" s="1"/>
  <c r="AV76" i="1" a="1"/>
  <c r="AV76" i="1" s="1"/>
  <c r="AX77" i="1" a="1"/>
  <c r="AX77" i="1" s="1"/>
  <c r="AV78" i="1" a="1"/>
  <c r="AV78" i="1" s="1"/>
  <c r="AX79" i="1" a="1"/>
  <c r="AX79" i="1" s="1"/>
  <c r="AV81" i="1" a="1"/>
  <c r="AV81" i="1" s="1"/>
  <c r="AY82" i="1" a="1"/>
  <c r="AY82" i="1" s="1"/>
  <c r="AV83" i="1" a="1"/>
  <c r="AV83" i="1" s="1"/>
  <c r="AY84" i="1" a="1"/>
  <c r="AY84" i="1" s="1"/>
  <c r="AV85" i="1" a="1"/>
  <c r="AV85" i="1" s="1"/>
  <c r="AX86" i="1" a="1"/>
  <c r="AX86" i="1" s="1"/>
  <c r="AV87" i="1" a="1"/>
  <c r="AV87" i="1" s="1"/>
  <c r="AY89" i="1" a="1"/>
  <c r="AY89" i="1" s="1"/>
  <c r="AV90" i="1" a="1"/>
  <c r="AV90" i="1" s="1"/>
  <c r="AY91" i="1" a="1"/>
  <c r="AY91" i="1" s="1"/>
  <c r="AV92" i="1" a="1"/>
  <c r="AV92" i="1" s="1"/>
  <c r="AX93" i="1" a="1"/>
  <c r="AX93" i="1" s="1"/>
  <c r="AV94" i="1" a="1"/>
  <c r="AV94" i="1" s="1"/>
  <c r="AX95" i="1" a="1"/>
  <c r="AX95" i="1" s="1"/>
  <c r="AV97" i="1" a="1"/>
  <c r="AV97" i="1" s="1"/>
  <c r="AX98" i="1" a="1"/>
  <c r="AX98" i="1" s="1"/>
  <c r="AY99" i="1" a="1"/>
  <c r="AY99" i="1" s="1"/>
  <c r="AV100" i="1" a="1"/>
  <c r="AV100" i="1" s="1"/>
  <c r="AW101" i="1" a="1"/>
  <c r="AW101" i="1" s="1"/>
  <c r="AX102" i="1" a="1"/>
  <c r="AX102" i="1" s="1"/>
  <c r="AY103" i="1" a="1"/>
  <c r="AY103" i="1" s="1"/>
  <c r="AW105" i="1" a="1"/>
  <c r="AW105" i="1" s="1"/>
  <c r="AX106" i="1" a="1"/>
  <c r="AX106" i="1" s="1"/>
  <c r="AY107" i="1" a="1"/>
  <c r="AY107" i="1" s="1"/>
  <c r="AV108" i="1" a="1"/>
  <c r="AV108" i="1" s="1"/>
  <c r="AW109" i="1" a="1"/>
  <c r="AW109" i="1" s="1"/>
  <c r="AX110" i="1" a="1"/>
  <c r="AX110" i="1" s="1"/>
  <c r="AY111" i="1" a="1"/>
  <c r="AY111" i="1" s="1"/>
  <c r="AG23" i="1"/>
  <c r="AG26" i="1"/>
  <c r="AG28" i="1"/>
  <c r="AG38" i="1"/>
  <c r="AG41" i="1"/>
  <c r="AG47" i="1"/>
  <c r="AG50" i="1"/>
  <c r="AG57" i="1"/>
  <c r="AG58" i="1"/>
  <c r="AG59" i="1"/>
  <c r="AG60" i="1"/>
  <c r="AG64" i="1"/>
  <c r="AG65" i="1"/>
  <c r="AG67" i="1"/>
  <c r="AG68" i="1"/>
  <c r="AG71" i="1"/>
  <c r="AG72" i="1"/>
  <c r="AG73" i="1"/>
  <c r="AG75" i="1"/>
  <c r="AG76" i="1"/>
  <c r="AG80" i="1"/>
  <c r="AG82" i="1"/>
  <c r="AG87" i="1"/>
  <c r="AG90" i="1"/>
  <c r="AG94" i="1"/>
  <c r="AG96" i="1"/>
  <c r="AG104" i="1"/>
  <c r="AG107" i="1"/>
  <c r="AG108" i="1"/>
  <c r="AG109" i="1"/>
  <c r="AJ105" i="1" l="1"/>
  <c r="AL105" i="1" s="1"/>
  <c r="AJ108" i="1"/>
  <c r="AL108" i="1" s="1"/>
  <c r="AJ75" i="1"/>
  <c r="AJ95" i="1"/>
  <c r="AL95" i="1" s="1"/>
  <c r="AJ97" i="1"/>
  <c r="AL97" i="1" s="1"/>
  <c r="AJ106" i="1"/>
  <c r="AL106" i="1" s="1"/>
  <c r="AJ25" i="1"/>
  <c r="AL25" i="1" s="1"/>
  <c r="AJ42" i="1"/>
  <c r="AL42" i="1" s="1"/>
  <c r="AJ77" i="1"/>
  <c r="AL77" i="1" s="1"/>
  <c r="AJ44" i="1"/>
  <c r="AL44" i="1" s="1"/>
  <c r="AJ33" i="1"/>
  <c r="AL33" i="1" s="1"/>
  <c r="AJ94" i="1"/>
  <c r="AL94" i="1" s="1"/>
  <c r="AJ72" i="1"/>
  <c r="AL72" i="1" s="1"/>
  <c r="AJ73" i="1"/>
  <c r="AL73" i="1" s="1"/>
  <c r="AJ34" i="1"/>
  <c r="AL34" i="1" s="1"/>
  <c r="AJ107" i="1"/>
  <c r="AL107" i="1" s="1"/>
  <c r="AJ40" i="1"/>
  <c r="AJ81" i="1"/>
  <c r="AL81" i="1" s="1"/>
  <c r="AJ13" i="1"/>
  <c r="AL13" i="1" s="1"/>
  <c r="AJ103" i="1"/>
  <c r="AL103" i="1" s="1"/>
  <c r="AJ17" i="1"/>
  <c r="AL17" i="1" s="1"/>
  <c r="AJ60" i="1"/>
  <c r="AL60" i="1" s="1"/>
  <c r="AJ54" i="1"/>
  <c r="AL54" i="1" s="1"/>
  <c r="AJ65" i="1"/>
  <c r="AL65" i="1" s="1"/>
  <c r="AJ41" i="1"/>
  <c r="AL41" i="1" s="1"/>
  <c r="AJ55" i="1"/>
  <c r="AL55" i="1" s="1"/>
  <c r="AM92" i="1"/>
  <c r="AJ71" i="1"/>
  <c r="AJ37" i="1"/>
  <c r="AL37" i="1" s="1"/>
  <c r="AJ69" i="1"/>
  <c r="AJ104" i="1"/>
  <c r="AL104" i="1" s="1"/>
  <c r="AJ46" i="1"/>
  <c r="AL46" i="1" s="1"/>
  <c r="AJ102" i="1"/>
  <c r="AL102" i="1" s="1"/>
  <c r="AJ23" i="1"/>
  <c r="AL23" i="1" s="1"/>
  <c r="AJ111" i="1"/>
  <c r="AL111" i="1" s="1"/>
  <c r="AJ59" i="1"/>
  <c r="AJ57" i="1"/>
  <c r="AL57" i="1" s="1"/>
  <c r="AJ39" i="1"/>
  <c r="AL39" i="1" s="1"/>
  <c r="AJ87" i="1"/>
  <c r="AL87" i="1" s="1"/>
  <c r="AJ90" i="1"/>
  <c r="AJ79" i="1"/>
  <c r="AL79" i="1" s="1"/>
  <c r="AJ47" i="1"/>
  <c r="AL47" i="1" s="1"/>
  <c r="AJ15" i="1"/>
  <c r="AL15" i="1" s="1"/>
  <c r="AJ20" i="1"/>
  <c r="AL20" i="1" s="1"/>
  <c r="AJ24" i="1"/>
  <c r="AL24" i="1" s="1"/>
  <c r="AJ56" i="1"/>
  <c r="AL56" i="1" s="1"/>
  <c r="AM82" i="1"/>
  <c r="AJ27" i="1"/>
  <c r="AL27" i="1" s="1"/>
  <c r="AJ29" i="1"/>
  <c r="AL29" i="1" s="1"/>
  <c r="AJ38" i="1"/>
  <c r="AL38" i="1" s="1"/>
  <c r="AJ32" i="1"/>
  <c r="AL32" i="1" s="1"/>
  <c r="AJ64" i="1"/>
  <c r="AL64" i="1" s="1"/>
  <c r="AJ96" i="1"/>
  <c r="AL96" i="1" s="1"/>
  <c r="AJ35" i="1"/>
  <c r="AL35" i="1" s="1"/>
  <c r="AJ85" i="1"/>
  <c r="AL85" i="1" s="1"/>
  <c r="AJ19" i="1"/>
  <c r="AL19" i="1" s="1"/>
  <c r="AJ99" i="1"/>
  <c r="AL99" i="1" s="1"/>
  <c r="AJ49" i="1"/>
  <c r="AL49" i="1" s="1"/>
  <c r="AJ36" i="1"/>
  <c r="AL36" i="1" s="1"/>
  <c r="AJ43" i="1"/>
  <c r="AL43" i="1" s="1"/>
  <c r="AJ52" i="1"/>
  <c r="AL52" i="1" s="1"/>
  <c r="AJ109" i="1"/>
  <c r="AL109" i="1" s="1"/>
  <c r="AJ84" i="1"/>
  <c r="AL84" i="1" s="1"/>
  <c r="AJ67" i="1"/>
  <c r="AL67" i="1" s="1"/>
  <c r="AJ51" i="1"/>
  <c r="AL51" i="1" s="1"/>
  <c r="AJ45" i="1"/>
  <c r="AL45" i="1" s="1"/>
  <c r="AJ93" i="1"/>
  <c r="AL93" i="1" s="1"/>
  <c r="AJ66" i="1"/>
  <c r="AL66" i="1" s="1"/>
  <c r="AJ62" i="1"/>
  <c r="AL62" i="1" s="1"/>
  <c r="AJ110" i="1"/>
  <c r="AL110" i="1" s="1"/>
  <c r="AJ31" i="1"/>
  <c r="AL31" i="1" s="1"/>
  <c r="AJ63" i="1"/>
  <c r="AL63" i="1" s="1"/>
  <c r="AJ16" i="1"/>
  <c r="AL16" i="1" s="1"/>
  <c r="AJ48" i="1"/>
  <c r="AL48" i="1" s="1"/>
  <c r="AJ80" i="1"/>
  <c r="AL80" i="1" s="1"/>
  <c r="AJ50" i="1"/>
  <c r="AL50" i="1" s="1"/>
  <c r="AJ61" i="1"/>
  <c r="AL61" i="1" s="1"/>
  <c r="AJ28" i="1"/>
  <c r="AL28" i="1" s="1"/>
  <c r="AJ76" i="1"/>
  <c r="AL76" i="1" s="1"/>
  <c r="AJ86" i="1"/>
  <c r="AL86" i="1" s="1"/>
  <c r="AJ91" i="1"/>
  <c r="AL91" i="1" s="1"/>
  <c r="AJ83" i="1"/>
  <c r="AL83" i="1" s="1"/>
  <c r="AJ18" i="1"/>
  <c r="AL18" i="1" s="1"/>
  <c r="AJ53" i="1"/>
  <c r="AL53" i="1" s="1"/>
  <c r="AJ101" i="1"/>
  <c r="AL101" i="1" s="1"/>
  <c r="AJ22" i="1"/>
  <c r="AL22" i="1" s="1"/>
  <c r="AJ70" i="1"/>
  <c r="AL70" i="1" s="1"/>
  <c r="AJ26" i="1"/>
  <c r="AL26" i="1" s="1"/>
  <c r="AJ88" i="1"/>
  <c r="AL88" i="1" s="1"/>
  <c r="AJ58" i="1"/>
  <c r="AL58" i="1" s="1"/>
  <c r="AW110" i="1" a="1"/>
  <c r="AW110" i="1" s="1"/>
  <c r="AW93" i="1" a="1"/>
  <c r="AW93" i="1" s="1"/>
  <c r="AW70" i="1" a="1"/>
  <c r="AW70" i="1" s="1"/>
  <c r="AY50" i="1" a="1"/>
  <c r="AY50" i="1" s="1"/>
  <c r="AX33" i="1" a="1"/>
  <c r="AX33" i="1" s="1"/>
  <c r="AY17" i="1" a="1"/>
  <c r="AY17" i="1" s="1"/>
  <c r="AW98" i="1" a="1"/>
  <c r="AW98" i="1" s="1"/>
  <c r="AW77" i="1" a="1"/>
  <c r="AW77" i="1" s="1"/>
  <c r="AX59" i="1" a="1"/>
  <c r="AX59" i="1" s="1"/>
  <c r="AV37" i="1" a="1"/>
  <c r="AV37" i="1" s="1"/>
  <c r="AX21" i="1" a="1"/>
  <c r="AX21" i="1" s="1"/>
  <c r="AV13" i="1" a="1"/>
  <c r="AV13" i="1" s="1"/>
  <c r="AW95" i="1" a="1"/>
  <c r="AW95" i="1" s="1"/>
  <c r="AX75" i="1" a="1"/>
  <c r="AX75" i="1" s="1"/>
  <c r="AW54" i="1" a="1"/>
  <c r="AW54" i="1" s="1"/>
  <c r="AW35" i="1" a="1"/>
  <c r="AW35" i="1" s="1"/>
  <c r="AY19" i="1" a="1"/>
  <c r="AY19" i="1" s="1"/>
  <c r="AV109" i="1" a="1"/>
  <c r="AV109" i="1" s="1"/>
  <c r="AX91" i="1" a="1"/>
  <c r="AX91" i="1" s="1"/>
  <c r="AX68" i="1" a="1"/>
  <c r="AX68" i="1" s="1"/>
  <c r="AV49" i="1" a="1"/>
  <c r="AV49" i="1" s="1"/>
  <c r="AY31" i="1" a="1"/>
  <c r="AY31" i="1" s="1"/>
  <c r="AX14" i="1" a="1"/>
  <c r="AX14" i="1" s="1"/>
  <c r="AW106" i="1" a="1"/>
  <c r="AW106" i="1" s="1"/>
  <c r="AW86" i="1" a="1"/>
  <c r="AW86" i="1" s="1"/>
  <c r="AX66" i="1" a="1"/>
  <c r="AX66" i="1" s="1"/>
  <c r="AX47" i="1" a="1"/>
  <c r="AX47" i="1" s="1"/>
  <c r="AV30" i="1" a="1"/>
  <c r="AV30" i="1" s="1"/>
  <c r="AV105" i="1" a="1"/>
  <c r="AV105" i="1" s="1"/>
  <c r="AX84" i="1" a="1"/>
  <c r="AX84" i="1" s="1"/>
  <c r="AV44" i="1" a="1"/>
  <c r="AV44" i="1" s="1"/>
  <c r="AX28" i="1" a="1"/>
  <c r="AX28" i="1" s="1"/>
  <c r="AW102" i="1" a="1"/>
  <c r="AW102" i="1" s="1"/>
  <c r="AX82" i="1" a="1"/>
  <c r="AX82" i="1" s="1"/>
  <c r="AW63" i="1" a="1"/>
  <c r="AW63" i="1" s="1"/>
  <c r="AV42" i="1" a="1"/>
  <c r="AV42" i="1" s="1"/>
  <c r="AX26" i="1" a="1"/>
  <c r="AX26" i="1" s="1"/>
  <c r="AV101" i="1" a="1"/>
  <c r="AV101" i="1" s="1"/>
  <c r="AW79" i="1" a="1"/>
  <c r="AW79" i="1" s="1"/>
  <c r="AW61" i="1" a="1"/>
  <c r="AW61" i="1" s="1"/>
  <c r="AY38" i="1" a="1"/>
  <c r="AY38" i="1" s="1"/>
  <c r="AW23" i="1" a="1"/>
  <c r="AW23" i="1" s="1"/>
  <c r="AW12" i="1" a="1"/>
  <c r="AW12" i="1" s="1"/>
  <c r="AX12" i="1" a="1"/>
  <c r="AX12" i="1" s="1"/>
  <c r="AY12" i="1" a="1"/>
  <c r="AY12" i="1" s="1"/>
  <c r="AV12" i="1" a="1"/>
  <c r="AV12" i="1" s="1"/>
  <c r="AV104" i="1" a="1"/>
  <c r="AV104" i="1" s="1"/>
  <c r="AW104" i="1" a="1"/>
  <c r="AW104" i="1" s="1"/>
  <c r="AX104" i="1" a="1"/>
  <c r="AX104" i="1" s="1"/>
  <c r="AY104" i="1" a="1"/>
  <c r="AY104" i="1" s="1"/>
  <c r="AV96" i="1" a="1"/>
  <c r="AV96" i="1" s="1"/>
  <c r="AW96" i="1" a="1"/>
  <c r="AW96" i="1" s="1"/>
  <c r="AX96" i="1" a="1"/>
  <c r="AX96" i="1" s="1"/>
  <c r="AW88" i="1" a="1"/>
  <c r="AW88" i="1" s="1"/>
  <c r="AX88" i="1" a="1"/>
  <c r="AX88" i="1" s="1"/>
  <c r="AY88" i="1" a="1"/>
  <c r="AY88" i="1" s="1"/>
  <c r="AV80" i="1" a="1"/>
  <c r="AV80" i="1" s="1"/>
  <c r="AW80" i="1" a="1"/>
  <c r="AW80" i="1" s="1"/>
  <c r="AX80" i="1" a="1"/>
  <c r="AX80" i="1" s="1"/>
  <c r="AW72" i="1" a="1"/>
  <c r="AW72" i="1" s="1"/>
  <c r="AX72" i="1" a="1"/>
  <c r="AX72" i="1" s="1"/>
  <c r="AY72" i="1" a="1"/>
  <c r="AY72" i="1" s="1"/>
  <c r="AV64" i="1" a="1"/>
  <c r="AV64" i="1" s="1"/>
  <c r="AW64" i="1" a="1"/>
  <c r="AW64" i="1" s="1"/>
  <c r="AX64" i="1" a="1"/>
  <c r="AX64" i="1" s="1"/>
  <c r="AW56" i="1" a="1"/>
  <c r="AW56" i="1" s="1"/>
  <c r="AX56" i="1" a="1"/>
  <c r="AX56" i="1" s="1"/>
  <c r="AY56" i="1" a="1"/>
  <c r="AY56" i="1" s="1"/>
  <c r="AV48" i="1" a="1"/>
  <c r="AV48" i="1" s="1"/>
  <c r="AW48" i="1" a="1"/>
  <c r="AW48" i="1" s="1"/>
  <c r="AX48" i="1" a="1"/>
  <c r="AX48" i="1" s="1"/>
  <c r="AY48" i="1" a="1"/>
  <c r="AY48" i="1" s="1"/>
  <c r="AY40" i="1" a="1"/>
  <c r="AY40" i="1" s="1"/>
  <c r="AV40" i="1" a="1"/>
  <c r="AV40" i="1" s="1"/>
  <c r="AW40" i="1" a="1"/>
  <c r="AW40" i="1" s="1"/>
  <c r="AV32" i="1" a="1"/>
  <c r="AV32" i="1" s="1"/>
  <c r="AW32" i="1" a="1"/>
  <c r="AW32" i="1" s="1"/>
  <c r="AX32" i="1" a="1"/>
  <c r="AX32" i="1" s="1"/>
  <c r="AY32" i="1" a="1"/>
  <c r="AY32" i="1" s="1"/>
  <c r="AV24" i="1" a="1"/>
  <c r="AV24" i="1" s="1"/>
  <c r="AW24" i="1" a="1"/>
  <c r="AW24" i="1" s="1"/>
  <c r="AX24" i="1" a="1"/>
  <c r="AX24" i="1" s="1"/>
  <c r="AX16" i="1" a="1"/>
  <c r="AX16" i="1" s="1"/>
  <c r="AY16" i="1" a="1"/>
  <c r="AY16" i="1" s="1"/>
  <c r="AV16" i="1" a="1"/>
  <c r="AV16" i="1" s="1"/>
  <c r="AY96" i="1" a="1"/>
  <c r="AY96" i="1" s="1"/>
  <c r="AX40" i="1" a="1"/>
  <c r="AX40" i="1" s="1"/>
  <c r="AY80" i="1" a="1"/>
  <c r="AY80" i="1" s="1"/>
  <c r="AY24" i="1" a="1"/>
  <c r="AY24" i="1" s="1"/>
  <c r="AV88" i="1" a="1"/>
  <c r="AV88" i="1" s="1"/>
  <c r="AV72" i="1" a="1"/>
  <c r="AV72" i="1" s="1"/>
  <c r="AW16" i="1" a="1"/>
  <c r="AW16" i="1" s="1"/>
  <c r="AV56" i="1" a="1"/>
  <c r="AV56" i="1" s="1"/>
  <c r="AX111" i="1" a="1"/>
  <c r="AX111" i="1" s="1"/>
  <c r="AY108" i="1" a="1"/>
  <c r="AY108" i="1" s="1"/>
  <c r="AX107" i="1" a="1"/>
  <c r="AX107" i="1" s="1"/>
  <c r="AX103" i="1" a="1"/>
  <c r="AX103" i="1" s="1"/>
  <c r="AY100" i="1" a="1"/>
  <c r="AY100" i="1" s="1"/>
  <c r="AX99" i="1" a="1"/>
  <c r="AX99" i="1" s="1"/>
  <c r="AV95" i="1" a="1"/>
  <c r="AV95" i="1" s="1"/>
  <c r="AV93" i="1" a="1"/>
  <c r="AV93" i="1" s="1"/>
  <c r="AW91" i="1" a="1"/>
  <c r="AW91" i="1" s="1"/>
  <c r="AX89" i="1" a="1"/>
  <c r="AX89" i="1" s="1"/>
  <c r="AY87" i="1" a="1"/>
  <c r="AY87" i="1" s="1"/>
  <c r="AV86" i="1" a="1"/>
  <c r="AV86" i="1" s="1"/>
  <c r="AW84" i="1" a="1"/>
  <c r="AW84" i="1" s="1"/>
  <c r="AW82" i="1" a="1"/>
  <c r="AW82" i="1" s="1"/>
  <c r="AV79" i="1" a="1"/>
  <c r="AV79" i="1" s="1"/>
  <c r="AV77" i="1" a="1"/>
  <c r="AV77" i="1" s="1"/>
  <c r="AW75" i="1" a="1"/>
  <c r="AW75" i="1" s="1"/>
  <c r="AX73" i="1" a="1"/>
  <c r="AX73" i="1" s="1"/>
  <c r="AY71" i="1" a="1"/>
  <c r="AY71" i="1" s="1"/>
  <c r="AV70" i="1" a="1"/>
  <c r="AV70" i="1" s="1"/>
  <c r="AW68" i="1" a="1"/>
  <c r="AW68" i="1" s="1"/>
  <c r="AW66" i="1" a="1"/>
  <c r="AW66" i="1" s="1"/>
  <c r="AV63" i="1" a="1"/>
  <c r="AV63" i="1" s="1"/>
  <c r="AV61" i="1" a="1"/>
  <c r="AV61" i="1" s="1"/>
  <c r="AW59" i="1" a="1"/>
  <c r="AW59" i="1" s="1"/>
  <c r="AX57" i="1" a="1"/>
  <c r="AX57" i="1" s="1"/>
  <c r="AY55" i="1" a="1"/>
  <c r="AY55" i="1" s="1"/>
  <c r="AV54" i="1" a="1"/>
  <c r="AV54" i="1" s="1"/>
  <c r="AX52" i="1" a="1"/>
  <c r="AX52" i="1" s="1"/>
  <c r="AX50" i="1" a="1"/>
  <c r="AX50" i="1" s="1"/>
  <c r="AW47" i="1" a="1"/>
  <c r="AW47" i="1" s="1"/>
  <c r="AX45" i="1" a="1"/>
  <c r="AX45" i="1" s="1"/>
  <c r="AY43" i="1" a="1"/>
  <c r="AY43" i="1" s="1"/>
  <c r="AY41" i="1" a="1"/>
  <c r="AY41" i="1" s="1"/>
  <c r="AX38" i="1" a="1"/>
  <c r="AX38" i="1" s="1"/>
  <c r="AY36" i="1" a="1"/>
  <c r="AY36" i="1" s="1"/>
  <c r="AV35" i="1" a="1"/>
  <c r="AV35" i="1" s="1"/>
  <c r="AW33" i="1" a="1"/>
  <c r="AW33" i="1" s="1"/>
  <c r="AY29" i="1" a="1"/>
  <c r="AY29" i="1" s="1"/>
  <c r="AW28" i="1" a="1"/>
  <c r="AW28" i="1" s="1"/>
  <c r="AW26" i="1" a="1"/>
  <c r="AW26" i="1" s="1"/>
  <c r="AV23" i="1" a="1"/>
  <c r="AV23" i="1" s="1"/>
  <c r="AW21" i="1" a="1"/>
  <c r="AW21" i="1" s="1"/>
  <c r="AX19" i="1" a="1"/>
  <c r="AX19" i="1" s="1"/>
  <c r="AW14" i="1" a="1"/>
  <c r="AW14" i="1" s="1"/>
  <c r="AW111" i="1" a="1"/>
  <c r="AW111" i="1" s="1"/>
  <c r="AV110" i="1" a="1"/>
  <c r="AV110" i="1" s="1"/>
  <c r="AW107" i="1" a="1"/>
  <c r="AW107" i="1" s="1"/>
  <c r="AV106" i="1" a="1"/>
  <c r="AV106" i="1" s="1"/>
  <c r="AW103" i="1" a="1"/>
  <c r="AW103" i="1" s="1"/>
  <c r="AV102" i="1" a="1"/>
  <c r="AV102" i="1" s="1"/>
  <c r="AW99" i="1" a="1"/>
  <c r="AW99" i="1" s="1"/>
  <c r="AV98" i="1" a="1"/>
  <c r="AV98" i="1" s="1"/>
  <c r="AY94" i="1" a="1"/>
  <c r="AY94" i="1" s="1"/>
  <c r="AY92" i="1" a="1"/>
  <c r="AY92" i="1" s="1"/>
  <c r="AV91" i="1" a="1"/>
  <c r="AV91" i="1" s="1"/>
  <c r="AW89" i="1" a="1"/>
  <c r="AW89" i="1" s="1"/>
  <c r="AY85" i="1" a="1"/>
  <c r="AY85" i="1" s="1"/>
  <c r="AV84" i="1" a="1"/>
  <c r="AV84" i="1" s="1"/>
  <c r="AV82" i="1" a="1"/>
  <c r="AV82" i="1" s="1"/>
  <c r="AY78" i="1" a="1"/>
  <c r="AY78" i="1" s="1"/>
  <c r="AY76" i="1" a="1"/>
  <c r="AY76" i="1" s="1"/>
  <c r="AV75" i="1" a="1"/>
  <c r="AV75" i="1" s="1"/>
  <c r="AW73" i="1" a="1"/>
  <c r="AW73" i="1" s="1"/>
  <c r="AY69" i="1" a="1"/>
  <c r="AY69" i="1" s="1"/>
  <c r="AV68" i="1" a="1"/>
  <c r="AV68" i="1" s="1"/>
  <c r="AV66" i="1" a="1"/>
  <c r="AV66" i="1" s="1"/>
  <c r="AY62" i="1" a="1"/>
  <c r="AY62" i="1" s="1"/>
  <c r="AY60" i="1" a="1"/>
  <c r="AY60" i="1" s="1"/>
  <c r="AV59" i="1" a="1"/>
  <c r="AV59" i="1" s="1"/>
  <c r="AW57" i="1" a="1"/>
  <c r="AW57" i="1" s="1"/>
  <c r="AY53" i="1" a="1"/>
  <c r="AY53" i="1" s="1"/>
  <c r="AW52" i="1" a="1"/>
  <c r="AW52" i="1" s="1"/>
  <c r="AW50" i="1" a="1"/>
  <c r="AW50" i="1" s="1"/>
  <c r="AV47" i="1" a="1"/>
  <c r="AV47" i="1" s="1"/>
  <c r="AW45" i="1" a="1"/>
  <c r="AW45" i="1" s="1"/>
  <c r="AX43" i="1" a="1"/>
  <c r="AX43" i="1" s="1"/>
  <c r="AW38" i="1" a="1"/>
  <c r="AW38" i="1" s="1"/>
  <c r="AY34" i="1" a="1"/>
  <c r="AY34" i="1" s="1"/>
  <c r="AV33" i="1" a="1"/>
  <c r="AV33" i="1" s="1"/>
  <c r="AX31" i="1" a="1"/>
  <c r="AX31" i="1" s="1"/>
  <c r="AV28" i="1" a="1"/>
  <c r="AV28" i="1" s="1"/>
  <c r="AV26" i="1" a="1"/>
  <c r="AV26" i="1" s="1"/>
  <c r="AY22" i="1" a="1"/>
  <c r="AY22" i="1" s="1"/>
  <c r="AV21" i="1" a="1"/>
  <c r="AV21" i="1" s="1"/>
  <c r="AW19" i="1" a="1"/>
  <c r="AW19" i="1" s="1"/>
  <c r="AX17" i="1" a="1"/>
  <c r="AX17" i="1" s="1"/>
  <c r="AY15" i="1" a="1"/>
  <c r="AY15" i="1" s="1"/>
  <c r="AV14" i="1" a="1"/>
  <c r="AV14" i="1" s="1"/>
  <c r="AY109" i="1" a="1"/>
  <c r="AY109" i="1" s="1"/>
  <c r="AX108" i="1" a="1"/>
  <c r="AX108" i="1" s="1"/>
  <c r="AY105" i="1" a="1"/>
  <c r="AY105" i="1" s="1"/>
  <c r="AY101" i="1" a="1"/>
  <c r="AY101" i="1" s="1"/>
  <c r="AX100" i="1" a="1"/>
  <c r="AX100" i="1" s="1"/>
  <c r="AY97" i="1" a="1"/>
  <c r="AY97" i="1" s="1"/>
  <c r="AX94" i="1" a="1"/>
  <c r="AX94" i="1" s="1"/>
  <c r="AY90" i="1" a="1"/>
  <c r="AY90" i="1" s="1"/>
  <c r="AV89" i="1" a="1"/>
  <c r="AV89" i="1" s="1"/>
  <c r="AX87" i="1" a="1"/>
  <c r="AX87" i="1" s="1"/>
  <c r="AX85" i="1" a="1"/>
  <c r="AX85" i="1" s="1"/>
  <c r="AY83" i="1" a="1"/>
  <c r="AY83" i="1" s="1"/>
  <c r="AY81" i="1" a="1"/>
  <c r="AY81" i="1" s="1"/>
  <c r="AX78" i="1" a="1"/>
  <c r="AX78" i="1" s="1"/>
  <c r="AY74" i="1" a="1"/>
  <c r="AY74" i="1" s="1"/>
  <c r="AV73" i="1" a="1"/>
  <c r="AV73" i="1" s="1"/>
  <c r="AX71" i="1" a="1"/>
  <c r="AX71" i="1" s="1"/>
  <c r="AX69" i="1" a="1"/>
  <c r="AX69" i="1" s="1"/>
  <c r="AY67" i="1" a="1"/>
  <c r="AY67" i="1" s="1"/>
  <c r="AY65" i="1" a="1"/>
  <c r="AY65" i="1" s="1"/>
  <c r="AX62" i="1" a="1"/>
  <c r="AX62" i="1" s="1"/>
  <c r="AY58" i="1" a="1"/>
  <c r="AY58" i="1" s="1"/>
  <c r="AV57" i="1" a="1"/>
  <c r="AV57" i="1" s="1"/>
  <c r="AX55" i="1" a="1"/>
  <c r="AX55" i="1" s="1"/>
  <c r="AV52" i="1" a="1"/>
  <c r="AV52" i="1" s="1"/>
  <c r="AY46" i="1" a="1"/>
  <c r="AY46" i="1" s="1"/>
  <c r="AV45" i="1" a="1"/>
  <c r="AV45" i="1" s="1"/>
  <c r="AW43" i="1" a="1"/>
  <c r="AW43" i="1" s="1"/>
  <c r="AX41" i="1" a="1"/>
  <c r="AX41" i="1" s="1"/>
  <c r="AY39" i="1" a="1"/>
  <c r="AY39" i="1" s="1"/>
  <c r="AX36" i="1" a="1"/>
  <c r="AX36" i="1" s="1"/>
  <c r="AX34" i="1" a="1"/>
  <c r="AX34" i="1" s="1"/>
  <c r="AW31" i="1" a="1"/>
  <c r="AW31" i="1" s="1"/>
  <c r="AX29" i="1" a="1"/>
  <c r="AX29" i="1" s="1"/>
  <c r="AY27" i="1" a="1"/>
  <c r="AY27" i="1" s="1"/>
  <c r="AY25" i="1" a="1"/>
  <c r="AY25" i="1" s="1"/>
  <c r="AX22" i="1" a="1"/>
  <c r="AX22" i="1" s="1"/>
  <c r="AY20" i="1" a="1"/>
  <c r="AY20" i="1" s="1"/>
  <c r="AW17" i="1" a="1"/>
  <c r="AW17" i="1" s="1"/>
  <c r="AY13" i="1" a="1"/>
  <c r="AY13" i="1" s="1"/>
  <c r="AV111" i="1" a="1"/>
  <c r="AV111" i="1" s="1"/>
  <c r="AW108" i="1" a="1"/>
  <c r="AW108" i="1" s="1"/>
  <c r="AV107" i="1" a="1"/>
  <c r="AV107" i="1" s="1"/>
  <c r="AV103" i="1" a="1"/>
  <c r="AV103" i="1" s="1"/>
  <c r="AW100" i="1" a="1"/>
  <c r="AW100" i="1" s="1"/>
  <c r="AV99" i="1" a="1"/>
  <c r="AV99" i="1" s="1"/>
  <c r="AW94" i="1" a="1"/>
  <c r="AW94" i="1" s="1"/>
  <c r="AX92" i="1" a="1"/>
  <c r="AX92" i="1" s="1"/>
  <c r="AX90" i="1" a="1"/>
  <c r="AX90" i="1" s="1"/>
  <c r="AW87" i="1" a="1"/>
  <c r="AW87" i="1" s="1"/>
  <c r="AS87" i="1" s="1"/>
  <c r="AW85" i="1" a="1"/>
  <c r="AW85" i="1" s="1"/>
  <c r="AS85" i="1" s="1"/>
  <c r="AX83" i="1" a="1"/>
  <c r="AX83" i="1" s="1"/>
  <c r="AW78" i="1" a="1"/>
  <c r="AW78" i="1" s="1"/>
  <c r="AX76" i="1" a="1"/>
  <c r="AX76" i="1" s="1"/>
  <c r="AX74" i="1" a="1"/>
  <c r="AX74" i="1" s="1"/>
  <c r="AW71" i="1" a="1"/>
  <c r="AW71" i="1" s="1"/>
  <c r="AW69" i="1" a="1"/>
  <c r="AW69" i="1" s="1"/>
  <c r="AX67" i="1" a="1"/>
  <c r="AX67" i="1" s="1"/>
  <c r="AW62" i="1" a="1"/>
  <c r="AW62" i="1" s="1"/>
  <c r="AX60" i="1" a="1"/>
  <c r="AX60" i="1" s="1"/>
  <c r="AX58" i="1" a="1"/>
  <c r="AX58" i="1" s="1"/>
  <c r="AW55" i="1" a="1"/>
  <c r="AW55" i="1" s="1"/>
  <c r="AX53" i="1" a="1"/>
  <c r="AX53" i="1" s="1"/>
  <c r="AY51" i="1" a="1"/>
  <c r="AY51" i="1" s="1"/>
  <c r="AY49" i="1" a="1"/>
  <c r="AY49" i="1" s="1"/>
  <c r="AX46" i="1" a="1"/>
  <c r="AX46" i="1" s="1"/>
  <c r="AY44" i="1" a="1"/>
  <c r="AY44" i="1" s="1"/>
  <c r="AW41" i="1" a="1"/>
  <c r="AW41" i="1" s="1"/>
  <c r="AY37" i="1" a="1"/>
  <c r="AY37" i="1" s="1"/>
  <c r="AW36" i="1" a="1"/>
  <c r="AW36" i="1" s="1"/>
  <c r="AW34" i="1" a="1"/>
  <c r="AW34" i="1" s="1"/>
  <c r="AW29" i="1" a="1"/>
  <c r="AW29" i="1" s="1"/>
  <c r="AX27" i="1" a="1"/>
  <c r="AX27" i="1" s="1"/>
  <c r="AW22" i="1" a="1"/>
  <c r="AW22" i="1" s="1"/>
  <c r="AY18" i="1" a="1"/>
  <c r="AY18" i="1" s="1"/>
  <c r="AX15" i="1" a="1"/>
  <c r="AX15" i="1" s="1"/>
  <c r="AY110" i="1" a="1"/>
  <c r="AY110" i="1" s="1"/>
  <c r="AX109" i="1" a="1"/>
  <c r="AX109" i="1" s="1"/>
  <c r="AY106" i="1" a="1"/>
  <c r="AY106" i="1" s="1"/>
  <c r="AX105" i="1" a="1"/>
  <c r="AX105" i="1" s="1"/>
  <c r="AY102" i="1" a="1"/>
  <c r="AY102" i="1" s="1"/>
  <c r="AX101" i="1" a="1"/>
  <c r="AX101" i="1" s="1"/>
  <c r="AY98" i="1" a="1"/>
  <c r="AY98" i="1" s="1"/>
  <c r="AX97" i="1" a="1"/>
  <c r="AX97" i="1" s="1"/>
  <c r="AY95" i="1" a="1"/>
  <c r="AY95" i="1" s="1"/>
  <c r="AW92" i="1" a="1"/>
  <c r="AW92" i="1" s="1"/>
  <c r="AW90" i="1" a="1"/>
  <c r="AW90" i="1" s="1"/>
  <c r="AW83" i="1" a="1"/>
  <c r="AW83" i="1" s="1"/>
  <c r="AX81" i="1" a="1"/>
  <c r="AX81" i="1" s="1"/>
  <c r="AY79" i="1" a="1"/>
  <c r="AY79" i="1" s="1"/>
  <c r="AW76" i="1" a="1"/>
  <c r="AW76" i="1" s="1"/>
  <c r="AW74" i="1" a="1"/>
  <c r="AW74" i="1" s="1"/>
  <c r="AW67" i="1" a="1"/>
  <c r="AW67" i="1" s="1"/>
  <c r="AX65" i="1" a="1"/>
  <c r="AX65" i="1" s="1"/>
  <c r="AY63" i="1" a="1"/>
  <c r="AY63" i="1" s="1"/>
  <c r="AW60" i="1" a="1"/>
  <c r="AW60" i="1" s="1"/>
  <c r="AW58" i="1" a="1"/>
  <c r="AW58" i="1" s="1"/>
  <c r="AW53" i="1" a="1"/>
  <c r="AW53" i="1" s="1"/>
  <c r="AX51" i="1" a="1"/>
  <c r="AX51" i="1" s="1"/>
  <c r="AW46" i="1" a="1"/>
  <c r="AW46" i="1" s="1"/>
  <c r="AY42" i="1" a="1"/>
  <c r="AY42" i="1" s="1"/>
  <c r="AX39" i="1" a="1"/>
  <c r="AX39" i="1" s="1"/>
  <c r="AY30" i="1" a="1"/>
  <c r="AY30" i="1" s="1"/>
  <c r="AW27" i="1" a="1"/>
  <c r="AW27" i="1" s="1"/>
  <c r="AX25" i="1" a="1"/>
  <c r="AX25" i="1" s="1"/>
  <c r="AY23" i="1" a="1"/>
  <c r="AY23" i="1" s="1"/>
  <c r="AX20" i="1" a="1"/>
  <c r="AX20" i="1" s="1"/>
  <c r="AX18" i="1" a="1"/>
  <c r="AX18" i="1" s="1"/>
  <c r="AW15" i="1" a="1"/>
  <c r="AW15" i="1" s="1"/>
  <c r="AX13" i="1" a="1"/>
  <c r="AX13" i="1" s="1"/>
  <c r="AW97" i="1" a="1"/>
  <c r="AW97" i="1" s="1"/>
  <c r="AY93" i="1" a="1"/>
  <c r="AY93" i="1" s="1"/>
  <c r="AY86" i="1" a="1"/>
  <c r="AY86" i="1" s="1"/>
  <c r="AW81" i="1" a="1"/>
  <c r="AW81" i="1" s="1"/>
  <c r="AY77" i="1" a="1"/>
  <c r="AY77" i="1" s="1"/>
  <c r="AY70" i="1" a="1"/>
  <c r="AY70" i="1" s="1"/>
  <c r="AW65" i="1" a="1"/>
  <c r="AW65" i="1" s="1"/>
  <c r="AY61" i="1" a="1"/>
  <c r="AY61" i="1" s="1"/>
  <c r="AY54" i="1" a="1"/>
  <c r="AY54" i="1" s="1"/>
  <c r="AW51" i="1" a="1"/>
  <c r="AW51" i="1" s="1"/>
  <c r="AX49" i="1" a="1"/>
  <c r="AX49" i="1" s="1"/>
  <c r="AX44" i="1" a="1"/>
  <c r="AX44" i="1" s="1"/>
  <c r="AX42" i="1" a="1"/>
  <c r="AX42" i="1" s="1"/>
  <c r="AW39" i="1" a="1"/>
  <c r="AW39" i="1" s="1"/>
  <c r="AX37" i="1" a="1"/>
  <c r="AX37" i="1" s="1"/>
  <c r="AY35" i="1" a="1"/>
  <c r="AY35" i="1" s="1"/>
  <c r="AX30" i="1" a="1"/>
  <c r="AX30" i="1" s="1"/>
  <c r="AW25" i="1" a="1"/>
  <c r="AW25" i="1" s="1"/>
  <c r="AW20" i="1" a="1"/>
  <c r="AW20" i="1" s="1"/>
  <c r="AW18" i="1" a="1"/>
  <c r="AW18" i="1" s="1"/>
  <c r="AW13" i="1" a="1"/>
  <c r="AW13" i="1" s="1"/>
  <c r="AL69" i="1" l="1"/>
  <c r="AM69" i="1" s="1"/>
  <c r="AL90" i="1"/>
  <c r="AM90" i="1" s="1"/>
  <c r="AL59" i="1"/>
  <c r="AM59" i="1" s="1"/>
  <c r="AL71" i="1"/>
  <c r="AM71" i="1" s="1"/>
  <c r="AL75" i="1"/>
  <c r="AM75" i="1" s="1"/>
  <c r="AL40" i="1"/>
  <c r="AM40" i="1" s="1"/>
  <c r="AS76" i="1"/>
  <c r="AN76" i="1" s="1"/>
  <c r="AS62" i="1"/>
  <c r="AN62" i="1" s="1"/>
  <c r="AS81" i="1"/>
  <c r="AS53" i="1"/>
  <c r="AN53" i="1" s="1"/>
  <c r="AS108" i="1"/>
  <c r="AS58" i="1"/>
  <c r="AN58" i="1" s="1"/>
  <c r="AS69" i="1"/>
  <c r="AN69" i="1" s="1"/>
  <c r="AS111" i="1"/>
  <c r="AN111" i="1" s="1"/>
  <c r="AS28" i="1"/>
  <c r="AN28" i="1" s="1"/>
  <c r="AS50" i="1"/>
  <c r="AN50" i="1" s="1"/>
  <c r="AS90" i="1"/>
  <c r="AS94" i="1"/>
  <c r="AN94" i="1" s="1"/>
  <c r="AS17" i="1"/>
  <c r="AN17" i="1" s="1"/>
  <c r="AS33" i="1"/>
  <c r="AN33" i="1" s="1"/>
  <c r="AS29" i="1"/>
  <c r="AS41" i="1"/>
  <c r="AN41" i="1" s="1"/>
  <c r="AS22" i="1"/>
  <c r="AS66" i="1"/>
  <c r="AN66" i="1" s="1"/>
  <c r="AS20" i="1"/>
  <c r="AS18" i="1"/>
  <c r="AN18" i="1" s="1"/>
  <c r="AS51" i="1"/>
  <c r="AN51" i="1" s="1"/>
  <c r="AS60" i="1"/>
  <c r="AN60" i="1" s="1"/>
  <c r="AS83" i="1"/>
  <c r="AN83" i="1" s="1"/>
  <c r="AS97" i="1"/>
  <c r="AN97" i="1" s="1"/>
  <c r="AS99" i="1"/>
  <c r="AN99" i="1" s="1"/>
  <c r="AS27" i="1"/>
  <c r="AN27" i="1" s="1"/>
  <c r="AS65" i="1"/>
  <c r="AS15" i="1"/>
  <c r="AN15" i="1" s="1"/>
  <c r="AS78" i="1"/>
  <c r="AS100" i="1"/>
  <c r="AS26" i="1"/>
  <c r="AN26" i="1" s="1"/>
  <c r="AS84" i="1"/>
  <c r="AN84" i="1" s="1"/>
  <c r="AS24" i="1"/>
  <c r="AS31" i="1"/>
  <c r="AN31" i="1" s="1"/>
  <c r="AS52" i="1"/>
  <c r="AS71" i="1"/>
  <c r="AS89" i="1"/>
  <c r="AN89" i="1" s="1"/>
  <c r="AS64" i="1"/>
  <c r="AN64" i="1" s="1"/>
  <c r="AS104" i="1"/>
  <c r="AN104" i="1" s="1"/>
  <c r="AS91" i="1"/>
  <c r="AN91" i="1" s="1"/>
  <c r="AS77" i="1"/>
  <c r="AN77" i="1" s="1"/>
  <c r="AS93" i="1"/>
  <c r="AN93" i="1" s="1"/>
  <c r="AS105" i="1"/>
  <c r="AS92" i="1"/>
  <c r="AN92" i="1" s="1"/>
  <c r="AS36" i="1"/>
  <c r="AN36" i="1" s="1"/>
  <c r="AS55" i="1"/>
  <c r="AN55" i="1" s="1"/>
  <c r="AS75" i="1"/>
  <c r="AS110" i="1"/>
  <c r="AN110" i="1" s="1"/>
  <c r="AS63" i="1"/>
  <c r="AN63" i="1" s="1"/>
  <c r="AS79" i="1"/>
  <c r="AN79" i="1" s="1"/>
  <c r="AS95" i="1"/>
  <c r="AN95" i="1" s="1"/>
  <c r="AS32" i="1"/>
  <c r="AN32" i="1" s="1"/>
  <c r="AS42" i="1"/>
  <c r="AN42" i="1" s="1"/>
  <c r="AM79" i="1"/>
  <c r="AS34" i="1"/>
  <c r="AN34" i="1" s="1"/>
  <c r="AS67" i="1"/>
  <c r="AN67" i="1" s="1"/>
  <c r="AS19" i="1"/>
  <c r="AN19" i="1" s="1"/>
  <c r="AS38" i="1"/>
  <c r="AN38" i="1" s="1"/>
  <c r="AS59" i="1"/>
  <c r="AS25" i="1"/>
  <c r="AN25" i="1" s="1"/>
  <c r="AS39" i="1"/>
  <c r="AN39" i="1" s="1"/>
  <c r="AS46" i="1"/>
  <c r="AN46" i="1" s="1"/>
  <c r="AS74" i="1"/>
  <c r="AN74" i="1" s="1"/>
  <c r="AS43" i="1"/>
  <c r="AN43" i="1" s="1"/>
  <c r="AS30" i="1"/>
  <c r="AS72" i="1"/>
  <c r="AN72" i="1" s="1"/>
  <c r="AS96" i="1"/>
  <c r="AN96" i="1" s="1"/>
  <c r="AS35" i="1"/>
  <c r="AN35" i="1" s="1"/>
  <c r="AS88" i="1"/>
  <c r="AN88" i="1" s="1"/>
  <c r="AS40" i="1"/>
  <c r="AS109" i="1"/>
  <c r="AN109" i="1" s="1"/>
  <c r="AS37" i="1"/>
  <c r="AN37" i="1" s="1"/>
  <c r="AS13" i="1"/>
  <c r="AN13" i="1" s="1"/>
  <c r="AS103" i="1"/>
  <c r="AN103" i="1" s="1"/>
  <c r="AS21" i="1"/>
  <c r="AN21" i="1" s="1"/>
  <c r="AS98" i="1"/>
  <c r="AN98" i="1" s="1"/>
  <c r="AS107" i="1"/>
  <c r="AN107" i="1" s="1"/>
  <c r="AS45" i="1"/>
  <c r="AN45" i="1" s="1"/>
  <c r="AS82" i="1"/>
  <c r="AN82" i="1" s="1"/>
  <c r="AS54" i="1"/>
  <c r="AN54" i="1" s="1"/>
  <c r="AS70" i="1"/>
  <c r="AN70" i="1" s="1"/>
  <c r="AS86" i="1"/>
  <c r="AN86" i="1" s="1"/>
  <c r="AS80" i="1"/>
  <c r="AS47" i="1"/>
  <c r="AN47" i="1" s="1"/>
  <c r="AS102" i="1"/>
  <c r="AN102" i="1" s="1"/>
  <c r="AS68" i="1"/>
  <c r="AN68" i="1" s="1"/>
  <c r="AS23" i="1"/>
  <c r="AN23" i="1" s="1"/>
  <c r="AS44" i="1"/>
  <c r="AN44" i="1" s="1"/>
  <c r="AS73" i="1"/>
  <c r="AN73" i="1" s="1"/>
  <c r="AS14" i="1"/>
  <c r="AN14" i="1" s="1"/>
  <c r="AS106" i="1"/>
  <c r="AS101" i="1"/>
  <c r="AN101" i="1" s="1"/>
  <c r="AS57" i="1"/>
  <c r="AN57" i="1" s="1"/>
  <c r="AS61" i="1"/>
  <c r="AN61" i="1" s="1"/>
  <c r="AS56" i="1"/>
  <c r="AN56" i="1" s="1"/>
  <c r="AS16" i="1"/>
  <c r="AN16" i="1" s="1"/>
  <c r="AS48" i="1"/>
  <c r="AN48" i="1" s="1"/>
  <c r="AS49" i="1"/>
  <c r="AN49" i="1" s="1"/>
  <c r="AM53" i="1"/>
  <c r="AM50" i="1"/>
  <c r="AM109" i="1"/>
  <c r="AM80" i="1"/>
  <c r="AM96" i="1"/>
  <c r="AM38" i="1"/>
  <c r="AM98" i="1"/>
  <c r="AM104" i="1"/>
  <c r="AM63" i="1"/>
  <c r="AM18" i="1"/>
  <c r="AM74" i="1"/>
  <c r="AM21" i="1"/>
  <c r="AM37" i="1"/>
  <c r="AM33" i="1"/>
  <c r="AM22" i="1"/>
  <c r="AM28" i="1"/>
  <c r="AM110" i="1"/>
  <c r="AM67" i="1"/>
  <c r="AM95" i="1"/>
  <c r="AM85" i="1"/>
  <c r="AM27" i="1"/>
  <c r="AM24" i="1"/>
  <c r="AM105" i="1"/>
  <c r="AM51" i="1"/>
  <c r="AM70" i="1"/>
  <c r="AM72" i="1"/>
  <c r="AM44" i="1"/>
  <c r="AM62" i="1"/>
  <c r="AM46" i="1"/>
  <c r="AM89" i="1"/>
  <c r="AM25" i="1"/>
  <c r="AM84" i="1"/>
  <c r="AM15" i="1"/>
  <c r="AM35" i="1"/>
  <c r="AM101" i="1"/>
  <c r="AM41" i="1"/>
  <c r="AM77" i="1"/>
  <c r="AM93" i="1"/>
  <c r="AM66" i="1"/>
  <c r="AM20" i="1"/>
  <c r="AM94" i="1"/>
  <c r="AM73" i="1"/>
  <c r="AM12" i="1"/>
  <c r="AM58" i="1"/>
  <c r="AM102" i="1"/>
  <c r="AM52" i="1"/>
  <c r="AM19" i="1"/>
  <c r="AM64" i="1"/>
  <c r="AM87" i="1"/>
  <c r="AM78" i="1"/>
  <c r="AM106" i="1"/>
  <c r="AM60" i="1"/>
  <c r="AM99" i="1"/>
  <c r="AM30" i="1"/>
  <c r="AM42" i="1"/>
  <c r="AM68" i="1"/>
  <c r="AM54" i="1"/>
  <c r="AM17" i="1"/>
  <c r="AM88" i="1"/>
  <c r="AM83" i="1"/>
  <c r="AM45" i="1"/>
  <c r="AM111" i="1"/>
  <c r="AM61" i="1"/>
  <c r="AM108" i="1"/>
  <c r="AM65" i="1"/>
  <c r="AM14" i="1"/>
  <c r="AM100" i="1"/>
  <c r="AM81" i="1"/>
  <c r="AM39" i="1"/>
  <c r="AM91" i="1"/>
  <c r="AM16" i="1"/>
  <c r="AM103" i="1"/>
  <c r="AM43" i="1"/>
  <c r="AM55" i="1"/>
  <c r="AM47" i="1"/>
  <c r="AM13" i="1"/>
  <c r="AM97" i="1"/>
  <c r="AM32" i="1"/>
  <c r="AM26" i="1"/>
  <c r="AM86" i="1"/>
  <c r="AM36" i="1"/>
  <c r="AM23" i="1"/>
  <c r="AM57" i="1"/>
  <c r="AM56" i="1"/>
  <c r="AM48" i="1"/>
  <c r="AM34" i="1"/>
  <c r="AM76" i="1"/>
  <c r="AM31" i="1"/>
  <c r="AM49" i="1"/>
  <c r="AM107" i="1"/>
  <c r="AM29" i="1"/>
  <c r="AN100" i="1"/>
  <c r="AN75" i="1"/>
  <c r="AN108" i="1"/>
  <c r="AN52" i="1"/>
  <c r="AN65" i="1"/>
  <c r="AN20" i="1"/>
  <c r="AN90" i="1"/>
  <c r="AN85" i="1"/>
  <c r="AN81" i="1"/>
  <c r="AN22" i="1"/>
  <c r="AN29" i="1"/>
  <c r="AN105" i="1"/>
  <c r="AN78" i="1"/>
  <c r="AN80" i="1"/>
  <c r="AN30" i="1"/>
  <c r="AN24" i="1"/>
  <c r="AN106" i="1"/>
  <c r="AN87" i="1"/>
  <c r="AS12" i="1"/>
  <c r="AN12" i="1" s="1"/>
  <c r="AN71" i="1" l="1"/>
  <c r="AN40" i="1"/>
  <c r="AN59" i="1"/>
  <c r="AH31" i="1"/>
  <c r="AH43" i="1"/>
  <c r="AH18" i="1"/>
  <c r="AH75" i="1"/>
  <c r="AH100" i="1"/>
  <c r="AH108" i="1"/>
  <c r="AH27" i="1"/>
  <c r="AH55" i="1"/>
  <c r="AH98" i="1"/>
  <c r="AH77" i="1"/>
  <c r="AH83" i="1"/>
  <c r="AH89" i="1"/>
  <c r="AH88" i="1"/>
  <c r="AH59" i="1"/>
  <c r="AH61" i="1"/>
  <c r="AH76" i="1"/>
  <c r="AH97" i="1"/>
  <c r="AH54" i="1"/>
  <c r="AH62" i="1"/>
  <c r="AH92" i="1"/>
  <c r="AH110" i="1"/>
  <c r="AH35" i="1"/>
  <c r="AH70" i="1"/>
  <c r="AH34" i="1"/>
  <c r="AH84" i="1"/>
  <c r="AH21" i="1"/>
  <c r="AH69" i="1"/>
  <c r="AH57" i="1"/>
  <c r="AH17" i="1"/>
  <c r="AH19" i="1"/>
  <c r="AH51" i="1"/>
  <c r="AH41" i="1"/>
  <c r="AH60" i="1"/>
  <c r="AH78" i="1"/>
  <c r="AH25" i="1"/>
  <c r="AH96" i="1"/>
  <c r="AH36" i="1"/>
  <c r="AH102" i="1"/>
  <c r="AH58" i="1"/>
  <c r="AH24" i="1"/>
  <c r="AH38" i="1"/>
  <c r="AH49" i="1"/>
  <c r="AH28" i="1"/>
  <c r="AH32" i="1"/>
  <c r="AH37" i="1"/>
  <c r="AH50" i="1"/>
  <c r="AH48" i="1"/>
  <c r="AH94" i="1"/>
  <c r="AH103" i="1"/>
  <c r="AH53" i="1"/>
  <c r="AH71" i="1"/>
  <c r="AH44" i="1"/>
  <c r="AH101" i="1"/>
  <c r="AH63" i="1"/>
  <c r="AH80" i="1"/>
  <c r="AH109" i="1"/>
  <c r="AH42" i="1"/>
  <c r="AH16" i="1"/>
  <c r="AH14" i="1"/>
  <c r="AH90" i="1"/>
  <c r="AH65" i="1"/>
  <c r="AH56" i="1"/>
  <c r="AH52" i="1"/>
  <c r="AH73" i="1"/>
  <c r="AH79" i="1"/>
  <c r="AH93" i="1"/>
  <c r="AH29" i="1"/>
  <c r="AH81" i="1"/>
  <c r="AH39" i="1"/>
  <c r="AH15" i="1"/>
  <c r="AH40" i="1"/>
  <c r="AH86" i="1"/>
  <c r="AH74" i="1"/>
  <c r="AH104" i="1"/>
  <c r="AH106" i="1"/>
  <c r="AH22" i="1"/>
  <c r="AH66" i="1"/>
  <c r="AH26" i="1"/>
  <c r="AH45" i="1"/>
  <c r="AH72" i="1"/>
  <c r="AH99" i="1"/>
  <c r="AH91" i="1"/>
  <c r="AH64" i="1"/>
  <c r="AH46" i="1"/>
  <c r="AH85" i="1"/>
  <c r="AH95" i="1"/>
  <c r="AH23" i="1"/>
  <c r="AH47" i="1"/>
  <c r="AH82" i="1"/>
  <c r="AH87" i="1"/>
  <c r="AH68" i="1"/>
  <c r="AH30" i="1"/>
  <c r="AH107" i="1"/>
  <c r="AH13" i="1"/>
  <c r="AH105" i="1"/>
  <c r="AH33" i="1"/>
  <c r="AH111" i="1"/>
  <c r="AH67" i="1"/>
  <c r="AH20" i="1"/>
  <c r="A13" i="1" l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 s="1"/>
  <c r="A105" i="1" a="1"/>
  <c r="A105" i="1" s="1"/>
  <c r="A106" i="1" a="1"/>
  <c r="A106" i="1" s="1"/>
  <c r="A107" i="1" a="1"/>
  <c r="A107" i="1" s="1"/>
  <c r="A108" i="1" a="1"/>
  <c r="A108" i="1" s="1"/>
  <c r="A109" i="1" a="1"/>
  <c r="A109" i="1" s="1"/>
  <c r="A110" i="1" a="1"/>
  <c r="A110" i="1" s="1"/>
  <c r="A111" i="1" a="1"/>
  <c r="A111" i="1" s="1"/>
  <c r="A12" i="1" a="1"/>
  <c r="A12" i="1" s="1"/>
  <c r="W12" i="1" l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B1" i="1" l="1"/>
  <c r="E2" i="3" a="1"/>
  <c r="E2" i="3" s="1"/>
  <c r="R10" i="1" l="1" a="1"/>
  <c r="R10" i="1" s="1"/>
  <c r="P10" i="1" a="1"/>
  <c r="P10" i="1" s="1"/>
  <c r="Q10" i="1" a="1"/>
  <c r="Q10" i="1" s="1"/>
  <c r="N10" i="1" a="1"/>
  <c r="N10" i="1" s="1"/>
  <c r="O10" i="1" a="1"/>
  <c r="O10" i="1" s="1"/>
  <c r="I10" i="1" a="1"/>
  <c r="I10" i="1" s="1"/>
  <c r="O9" i="1" a="1"/>
  <c r="O9" i="1" s="1"/>
  <c r="H9" i="1" a="1"/>
  <c r="H9" i="1" s="1"/>
  <c r="H10" i="1" a="1"/>
  <c r="H10" i="1" s="1"/>
  <c r="L10" i="1" a="1"/>
  <c r="L10" i="1" s="1"/>
  <c r="N9" i="1" a="1"/>
  <c r="N9" i="1" s="1"/>
  <c r="G10" i="1" a="1"/>
  <c r="G10" i="1" s="1"/>
  <c r="G9" i="1" a="1"/>
  <c r="G9" i="1" s="1"/>
  <c r="J10" i="1" a="1"/>
  <c r="J10" i="1" s="1"/>
  <c r="X112" i="1" a="1"/>
  <c r="X112" i="1" s="1"/>
  <c r="K10" i="1" a="1"/>
  <c r="K10" i="1" s="1"/>
  <c r="W10" i="1" a="1"/>
  <c r="W10" i="1" s="1"/>
  <c r="F10" i="1" a="1"/>
  <c r="F10" i="1" s="1"/>
  <c r="C5" i="1" a="1"/>
  <c r="C5" i="1" s="1"/>
  <c r="C4" i="1" a="1"/>
  <c r="C4" i="1" s="1"/>
  <c r="X10" i="1" a="1"/>
  <c r="X10" i="1" s="1"/>
  <c r="X9" i="1" a="1"/>
  <c r="X9" i="1" s="1"/>
  <c r="E10" i="1" a="1"/>
  <c r="E10" i="1" s="1"/>
  <c r="D10" i="1" a="1"/>
  <c r="D10" i="1" s="1"/>
  <c r="S10" i="1" a="1"/>
  <c r="S10" i="1" s="1"/>
  <c r="C10" i="1" a="1"/>
  <c r="C10" i="1" s="1"/>
  <c r="C6" i="1" a="1"/>
  <c r="C6" i="1" s="1"/>
  <c r="C7" i="1" a="1"/>
  <c r="C7" i="1" s="1"/>
  <c r="Y10" i="1" a="1"/>
  <c r="Y10" i="1" s="1"/>
  <c r="C2" i="1" a="1"/>
  <c r="C2" i="1" s="1"/>
  <c r="T9" i="1" a="1"/>
  <c r="T9" i="1" s="1"/>
  <c r="U10" i="1" a="1"/>
  <c r="U10" i="1" s="1"/>
  <c r="V10" i="1" a="1"/>
  <c r="V10" i="1" s="1"/>
  <c r="M10" i="1" a="1"/>
  <c r="M10" i="1" s="1"/>
  <c r="C9" i="1" a="1"/>
  <c r="C9" i="1" s="1"/>
  <c r="AG12" i="1" l="1"/>
  <c r="AH12" i="1" l="1"/>
  <c r="Y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<sst xmlns="http://schemas.openxmlformats.org/spreadsheetml/2006/main" count="12611" uniqueCount="4619">
  <si>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</si>
  <si>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</si>
  <si>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</si>
  <si>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</si>
  <si>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</si>
  <si>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</si>
  <si>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</si>
  <si>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</si>
  <si>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</si>
  <si>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</si>
  <si>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</si>
  <si>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</si>
  <si>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</si>
  <si>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</si>
  <si>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</si>
  <si>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</si>
  <si>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</si>
  <si>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</si>
  <si>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</si>
  <si>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</si>
  <si>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</si>
  <si>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</si>
  <si>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</si>
  <si>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</si>
  <si>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</si>
  <si>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</si>
  <si>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</si>
  <si>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</si>
  <si>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</si>
  <si>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</si>
  <si>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</si>
  <si>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</si>
  <si>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</si>
  <si>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</si>
  <si>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</si>
  <si>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</si>
  <si>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</si>
  <si>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</si>
  <si>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</si>
  <si>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</si>
  <si>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</si>
  <si>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</si>
  <si>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</si>
  <si>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</si>
  <si>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</si>
  <si>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</si>
  <si>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</si>
  <si>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</si>
  <si>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</si>
  <si>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</si>
  <si>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</si>
  <si>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</si>
  <si>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</si>
  <si>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</si>
  <si>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</si>
  <si>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</si>
  <si>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</si>
  <si>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</si>
  <si>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</si>
  <si>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</si>
  <si>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</si>
  <si>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</si>
  <si>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</si>
  <si>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</si>
  <si>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</si>
  <si>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</si>
  <si>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</si>
  <si>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</si>
  <si>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</si>
  <si>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</si>
  <si>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</si>
  <si>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</si>
  <si>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</si>
  <si>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</si>
  <si>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</si>
  <si>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</si>
  <si>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</si>
  <si>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</si>
  <si>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</si>
  <si>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</si>
  <si>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</si>
  <si>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</si>
  <si>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</si>
  <si>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</si>
  <si>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</si>
  <si>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</si>
  <si>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</si>
  <si>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</si>
  <si>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</si>
  <si>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</si>
  <si>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</si>
  <si>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</si>
  <si>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</si>
  <si>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</si>
  <si>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</si>
  <si>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</si>
  <si>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</si>
  <si>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</si>
  <si>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</si>
  <si>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</si>
  <si>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</si>
  <si>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</si>
  <si>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</si>
  <si>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</si>
  <si>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</si>
  <si>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</si>
  <si>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</si>
  <si>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</si>
  <si>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</si>
  <si>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</si>
  <si>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</si>
  <si>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</si>
  <si>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</si>
  <si>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</si>
  <si>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</si>
  <si>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</si>
  <si>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</si>
  <si>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</si>
  <si>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</si>
  <si>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</si>
  <si>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</si>
  <si>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</si>
  <si>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</si>
  <si>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</si>
  <si>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</si>
  <si>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</si>
  <si>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</si>
  <si>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</si>
  <si>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</si>
  <si>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</si>
  <si>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</si>
  <si>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</si>
  <si>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</si>
  <si>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</si>
  <si>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</si>
  <si>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</si>
  <si>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</si>
  <si>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</si>
  <si>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</si>
  <si>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</si>
  <si>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</si>
  <si>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</si>
  <si>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</si>
  <si>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</si>
  <si>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</si>
  <si>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</si>
  <si>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</si>
  <si>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</si>
  <si>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</si>
  <si>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</si>
  <si>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</si>
  <si>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</si>
  <si>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</si>
  <si>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</si>
  <si>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</si>
  <si>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</si>
  <si>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</si>
  <si>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</si>
  <si>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</si>
  <si>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</si>
  <si>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</si>
  <si>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</si>
  <si>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</si>
  <si>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</si>
  <si>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</si>
  <si>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</si>
  <si>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</si>
  <si>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</si>
  <si>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</si>
  <si>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</si>
  <si>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</si>
  <si>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</si>
  <si>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</si>
  <si>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</si>
  <si>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</si>
  <si>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</si>
  <si>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</si>
  <si>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</si>
  <si>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</si>
  <si>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</si>
  <si>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</si>
  <si>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</si>
  <si>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</si>
  <si>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</si>
  <si>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</si>
  <si>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</si>
  <si>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</si>
  <si>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</si>
  <si>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</si>
  <si>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</si>
  <si>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</si>
  <si>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</si>
  <si>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</si>
  <si>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</si>
  <si>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</si>
  <si>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</si>
  <si>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</si>
  <si>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</si>
  <si>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</si>
  <si>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</si>
  <si>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</si>
  <si>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</si>
  <si>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</si>
  <si>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</si>
  <si>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</si>
  <si>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</si>
  <si>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</si>
  <si>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</si>
  <si>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</si>
  <si>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</si>
  <si>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</si>
  <si>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</si>
  <si>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</si>
  <si>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</si>
  <si>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</si>
  <si>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</si>
  <si>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</si>
  <si>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</si>
  <si>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</si>
  <si>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</si>
  <si>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</si>
  <si>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</si>
  <si>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</si>
  <si>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</si>
  <si>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</si>
  <si>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</si>
  <si>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</si>
  <si>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</si>
  <si>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</si>
  <si>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</si>
  <si>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</si>
  <si>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</si>
  <si>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</si>
  <si>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</si>
  <si>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</si>
  <si>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</si>
  <si>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</si>
  <si>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</si>
  <si>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</si>
  <si>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</si>
  <si>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</si>
  <si>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</si>
  <si>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</si>
  <si>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</si>
  <si>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</si>
  <si>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</si>
  <si>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</si>
  <si>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</si>
  <si>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</si>
  <si>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</si>
  <si>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</si>
  <si>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</si>
  <si>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</si>
  <si>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</si>
  <si>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</si>
  <si>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</si>
  <si>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</si>
  <si>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</si>
  <si>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</si>
  <si>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</si>
  <si>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</si>
  <si>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</si>
  <si>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</si>
  <si>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</si>
  <si>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</si>
  <si>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</si>
  <si>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</si>
  <si>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</si>
  <si>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</si>
  <si>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</si>
  <si>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</si>
  <si>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</si>
  <si>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</si>
  <si>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</si>
  <si>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</si>
  <si>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</si>
  <si>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</si>
  <si>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</si>
  <si>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</si>
  <si>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</si>
  <si>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</si>
  <si>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</si>
  <si>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</si>
  <si>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</si>
  <si>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</si>
  <si>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</si>
  <si>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</si>
  <si>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</si>
  <si>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</si>
  <si>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</si>
  <si>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</si>
  <si>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</si>
  <si>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</si>
  <si>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</si>
  <si>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</si>
  <si>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</si>
  <si>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</si>
  <si>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</si>
  <si>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</si>
  <si>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</si>
  <si>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</si>
  <si>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</si>
  <si>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</si>
  <si>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</si>
  <si>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</si>
  <si>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</si>
  <si>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</si>
  <si>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</si>
  <si>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</si>
  <si>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</si>
  <si>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</si>
  <si>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</si>
  <si>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</si>
  <si>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</si>
  <si>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</si>
  <si>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</si>
  <si>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</si>
  <si>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</si>
  <si>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</si>
  <si>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</si>
  <si>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</si>
  <si>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</si>
  <si>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</si>
  <si>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</si>
  <si>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</si>
  <si>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</si>
  <si>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</si>
  <si>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</si>
  <si>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</si>
  <si>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</si>
  <si>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</si>
  <si>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</si>
  <si>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</si>
  <si>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</si>
  <si>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</si>
  <si>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</si>
  <si>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</si>
  <si>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</si>
  <si>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</si>
  <si>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</si>
  <si>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</si>
  <si>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</si>
  <si>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</si>
  <si>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</si>
  <si>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</si>
  <si>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</si>
  <si>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</si>
  <si>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</si>
  <si>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</si>
  <si>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</si>
  <si>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</si>
  <si>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</si>
  <si>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</si>
  <si>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</si>
  <si>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</si>
  <si>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</si>
  <si>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</si>
  <si>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</si>
  <si>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</si>
  <si>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</si>
  <si>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</si>
  <si>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</si>
  <si>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</si>
  <si>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</si>
  <si>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</si>
  <si>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</si>
  <si>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</si>
  <si>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</si>
  <si>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</si>
  <si>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</si>
  <si>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</si>
  <si>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</si>
  <si>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</si>
  <si>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</si>
  <si>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</si>
  <si>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</si>
  <si>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</si>
  <si>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</si>
  <si>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</si>
  <si>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</si>
  <si>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</si>
  <si>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</si>
  <si>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</si>
  <si>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</si>
  <si>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</si>
  <si>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</si>
  <si>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</si>
  <si>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</si>
  <si>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</si>
  <si>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</si>
  <si>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</si>
  <si>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</si>
  <si>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</si>
  <si>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</si>
  <si>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</si>
  <si>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</si>
  <si>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</si>
  <si>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</si>
  <si>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</si>
  <si>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</si>
  <si>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</si>
  <si>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</si>
  <si>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</si>
  <si>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</si>
  <si>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</si>
  <si>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</si>
  <si>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</si>
  <si>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</si>
  <si>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</si>
  <si>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</si>
  <si>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</si>
  <si>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</si>
  <si>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</si>
  <si>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</si>
  <si>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</si>
  <si>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</si>
  <si>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</si>
  <si>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</si>
  <si>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</si>
  <si>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</si>
  <si>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</si>
  <si>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</si>
  <si>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</si>
  <si>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</si>
  <si>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</si>
  <si>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</si>
  <si>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</si>
  <si>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</si>
  <si>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</si>
  <si>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</si>
  <si>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</si>
  <si>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</si>
  <si>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</si>
  <si>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</si>
  <si>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</si>
  <si>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</si>
  <si>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</si>
  <si>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</si>
  <si>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</si>
  <si>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</si>
  <si>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</si>
  <si>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</si>
  <si>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</si>
  <si>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</si>
  <si>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</si>
  <si>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</si>
  <si>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</si>
  <si>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</si>
  <si>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</si>
  <si>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</si>
  <si>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</si>
  <si>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</si>
  <si>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</si>
  <si>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</si>
  <si>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</si>
  <si>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</si>
  <si>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</si>
  <si>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</si>
  <si>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</si>
  <si>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</si>
  <si>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</si>
  <si>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</si>
  <si>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</si>
  <si>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</si>
  <si>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</si>
  <si>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</si>
  <si>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</si>
  <si>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</si>
  <si>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</si>
  <si>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</si>
  <si>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</si>
  <si>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</si>
  <si>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</si>
  <si>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</si>
  <si>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</si>
  <si>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</si>
  <si>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</si>
  <si>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</si>
  <si>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</si>
  <si>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</si>
  <si>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</si>
  <si>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</si>
  <si>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</si>
  <si>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</si>
  <si>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</si>
  <si>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</si>
  <si>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</si>
  <si>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</si>
  <si>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</si>
  <si>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</si>
  <si>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</si>
  <si>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</si>
  <si>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</si>
  <si>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</si>
  <si>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</si>
  <si>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</si>
  <si>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</si>
  <si>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</si>
  <si>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</si>
  <si>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</si>
  <si>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</si>
  <si>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</si>
  <si>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</si>
  <si>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</si>
  <si>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</si>
  <si>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</si>
  <si>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</si>
  <si>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</si>
  <si>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</si>
  <si>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</si>
  <si>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</si>
  <si>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</si>
  <si>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</si>
  <si>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</si>
  <si>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</si>
  <si>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</si>
  <si>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</si>
  <si>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</si>
  <si>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</si>
  <si>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</si>
  <si>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</si>
  <si>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</si>
  <si>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</si>
  <si>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</si>
  <si>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</si>
  <si>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</si>
  <si>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</si>
  <si>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</si>
  <si>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</si>
  <si>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</si>
  <si>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</si>
  <si>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</si>
  <si>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</si>
  <si>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</si>
  <si>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</si>
  <si>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</si>
  <si>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</si>
  <si>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</si>
  <si>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</si>
  <si>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</si>
  <si>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</si>
  <si>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</si>
  <si>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</si>
  <si>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</si>
  <si>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</si>
  <si>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</si>
  <si>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</si>
  <si>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</si>
  <si>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</si>
  <si>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</si>
  <si>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</si>
  <si>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</si>
  <si>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</si>
  <si>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</si>
  <si>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</si>
  <si>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</si>
  <si>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</si>
  <si>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</si>
  <si>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</si>
  <si>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</si>
  <si>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</si>
  <si>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</si>
  <si>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</si>
  <si>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</si>
  <si>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</si>
  <si>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</si>
  <si>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</si>
  <si>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</si>
  <si>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</si>
  <si>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</si>
  <si>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</si>
  <si>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</si>
  <si>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</si>
  <si>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</si>
  <si>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</si>
  <si>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</si>
  <si>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</si>
  <si>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</si>
  <si>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</si>
  <si>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</si>
  <si>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</si>
  <si>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</si>
  <si>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</si>
  <si>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</si>
  <si>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</si>
  <si>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</si>
  <si>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</si>
  <si>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</si>
  <si>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</si>
  <si>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</si>
  <si>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</si>
  <si>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</si>
  <si>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</si>
  <si>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</si>
  <si>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</si>
  <si>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</si>
  <si>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</si>
  <si>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</si>
  <si>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</si>
  <si>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</si>
  <si>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</si>
  <si>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</si>
  <si>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</si>
  <si>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</si>
  <si>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</si>
  <si>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</si>
  <si>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</si>
  <si>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</si>
  <si>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</si>
  <si>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</si>
  <si>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</si>
  <si>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</si>
  <si>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</si>
  <si>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</si>
  <si>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</si>
  <si>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</si>
  <si>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</si>
  <si>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</si>
  <si>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</si>
  <si>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</si>
  <si>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</si>
  <si>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</si>
  <si>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</si>
  <si>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</si>
  <si>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</si>
  <si>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</si>
  <si>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</si>
  <si>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</si>
  <si>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</si>
  <si>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</si>
  <si>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</si>
  <si>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</si>
  <si>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</si>
  <si>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</si>
  <si>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</si>
  <si>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</si>
  <si>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</si>
  <si>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</si>
  <si>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</si>
  <si>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</si>
  <si>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</si>
  <si>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</si>
  <si>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</si>
  <si>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</si>
  <si>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</si>
  <si>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</si>
  <si>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</si>
  <si>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</si>
  <si>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</si>
  <si>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</si>
  <si>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</si>
  <si>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</si>
  <si>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</si>
  <si>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</si>
  <si>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</si>
  <si>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</si>
  <si>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</si>
  <si>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</si>
  <si>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</si>
  <si>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</si>
  <si>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</si>
  <si>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</si>
  <si>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</si>
  <si>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</si>
  <si>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</si>
  <si>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</si>
  <si>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</si>
  <si>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</si>
  <si>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</si>
  <si>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</si>
  <si>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</si>
  <si>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</si>
  <si>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</si>
  <si>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</si>
  <si>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</si>
  <si>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</si>
  <si>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</si>
  <si>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</si>
  <si>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</si>
  <si>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</si>
  <si>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</si>
  <si>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</si>
  <si>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</si>
  <si>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</si>
  <si>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</si>
  <si>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</si>
  <si>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</si>
  <si>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</si>
  <si>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</si>
  <si>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</si>
  <si>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</si>
  <si>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</si>
  <si>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</si>
  <si>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</si>
  <si>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</si>
  <si>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</si>
  <si>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</si>
  <si>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</si>
  <si>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</si>
  <si>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</si>
  <si>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</si>
  <si>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</si>
  <si>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</si>
  <si>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</si>
  <si>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</si>
  <si>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</si>
  <si>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</si>
  <si>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</si>
  <si>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</si>
  <si>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</si>
  <si>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</si>
  <si>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</si>
  <si>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</si>
  <si>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</si>
  <si>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</si>
  <si>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</si>
  <si>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</si>
  <si>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</si>
  <si>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</si>
  <si>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</si>
  <si>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</si>
  <si>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</si>
  <si>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</si>
  <si>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</si>
  <si>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</si>
  <si>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</si>
  <si>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</si>
  <si>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</si>
  <si>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</si>
  <si>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</si>
  <si>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</si>
  <si>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</si>
  <si>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</si>
  <si>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</si>
  <si>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</si>
  <si>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</si>
  <si>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</si>
  <si>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</si>
  <si>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</si>
  <si>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</si>
  <si>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</si>
  <si>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</si>
  <si>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</si>
  <si>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</si>
  <si>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</si>
  <si>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</si>
  <si>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</si>
  <si>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</si>
  <si>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</si>
  <si>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</si>
  <si>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</si>
  <si>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</si>
  <si>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</si>
  <si>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</si>
  <si>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</si>
  <si>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</si>
  <si>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</si>
  <si>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</si>
  <si>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</si>
  <si>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</si>
  <si>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</si>
  <si>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</si>
  <si>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</si>
  <si>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</si>
  <si>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</si>
  <si>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</si>
  <si>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</si>
  <si>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</si>
  <si>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</si>
  <si>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</si>
  <si>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</si>
  <si>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</si>
  <si>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</si>
  <si>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</si>
  <si>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</si>
  <si>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</si>
  <si>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</si>
  <si>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</si>
  <si>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</si>
  <si>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</si>
  <si>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</si>
  <si>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</si>
  <si>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</si>
  <si>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</si>
  <si>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</si>
  <si>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</si>
  <si>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</si>
  <si>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</si>
  <si>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</si>
  <si>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</si>
  <si>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</si>
  <si>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</si>
  <si>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</si>
  <si>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</si>
  <si>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</si>
  <si>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</si>
  <si>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</si>
  <si>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</si>
  <si>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</si>
  <si>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</si>
  <si>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</si>
  <si>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</si>
  <si>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</si>
  <si>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</si>
  <si>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</si>
  <si>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</si>
  <si>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</si>
  <si>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</si>
  <si>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</si>
  <si>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</si>
  <si>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</si>
  <si>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</si>
  <si>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</si>
  <si>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</si>
  <si>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</si>
  <si>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</si>
  <si>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</si>
  <si>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</si>
  <si>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</si>
  <si>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</si>
  <si>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</si>
  <si>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</si>
  <si>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</si>
  <si>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</si>
  <si>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</si>
  <si>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</si>
  <si>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</si>
  <si>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</si>
  <si>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</si>
  <si>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</si>
  <si>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</si>
  <si>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</si>
  <si>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</si>
  <si>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</si>
  <si>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</si>
  <si>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</si>
  <si>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</si>
  <si>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</si>
  <si>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</si>
  <si>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</si>
  <si>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</si>
  <si>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</si>
  <si>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</si>
  <si>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</si>
  <si>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</si>
  <si>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</si>
  <si>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</si>
  <si>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</si>
  <si>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</si>
  <si>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</si>
  <si>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</si>
  <si>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</si>
  <si>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</si>
  <si>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</si>
  <si>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</si>
  <si>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</si>
  <si>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</si>
  <si>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</si>
  <si>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</si>
  <si>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</si>
  <si>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</si>
  <si>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</si>
  <si>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</si>
  <si>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</si>
  <si>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</si>
  <si>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</si>
  <si>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</si>
  <si>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</si>
  <si>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</si>
  <si>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</si>
  <si>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</si>
  <si>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</si>
  <si>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</si>
  <si>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</si>
  <si>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</si>
  <si>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</si>
  <si>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</si>
  <si>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</si>
  <si>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</si>
  <si>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</si>
  <si>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</si>
  <si>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</si>
  <si>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</si>
  <si>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</si>
  <si>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</si>
  <si>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</si>
  <si>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</si>
  <si>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</si>
  <si>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</si>
  <si>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</si>
  <si>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</si>
  <si>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</si>
  <si>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</si>
  <si>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</si>
  <si>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</si>
  <si>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</si>
  <si>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</si>
  <si>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</si>
  <si>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</si>
  <si>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</si>
  <si>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</si>
  <si>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</si>
  <si>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</si>
  <si>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</si>
  <si>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</si>
  <si>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</si>
  <si>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</si>
  <si>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</si>
  <si>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</si>
  <si>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</si>
  <si>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</si>
  <si>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</si>
  <si>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</si>
  <si>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</si>
  <si>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</si>
  <si>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</si>
  <si>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</si>
  <si>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</si>
  <si>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</si>
  <si>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</si>
  <si>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</si>
  <si>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</si>
  <si>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</si>
  <si>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</si>
  <si>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</si>
  <si>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</si>
  <si>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</si>
  <si>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</si>
  <si>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</si>
  <si>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</si>
  <si>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</si>
  <si>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</si>
  <si>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</si>
  <si>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</si>
  <si>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</si>
  <si>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</si>
  <si>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</si>
  <si>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</si>
  <si>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</si>
  <si>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</si>
  <si>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</si>
  <si>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</si>
  <si>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</si>
  <si>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</si>
  <si>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</si>
  <si>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</si>
  <si>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</si>
  <si>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</si>
  <si>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</si>
  <si>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</si>
  <si>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</si>
  <si>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</si>
  <si>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</si>
  <si>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</si>
  <si>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</si>
  <si>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</si>
  <si>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</si>
  <si>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</si>
  <si>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</si>
  <si>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</si>
  <si>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</si>
  <si>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</si>
  <si>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</si>
  <si>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</si>
  <si>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</si>
  <si>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</si>
  <si>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</si>
  <si>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</si>
  <si>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</si>
  <si>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</si>
  <si>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</si>
  <si>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</si>
  <si>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</si>
  <si>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</si>
  <si>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</si>
  <si>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</si>
  <si>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</si>
  <si>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</si>
  <si>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</si>
  <si>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</si>
  <si>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</si>
  <si>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</si>
  <si>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</si>
  <si>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</si>
  <si>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</si>
  <si>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</si>
  <si>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</si>
  <si>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</si>
  <si>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</si>
  <si>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</si>
  <si>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</si>
  <si>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</si>
  <si>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</si>
  <si>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</si>
  <si>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</si>
  <si>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</si>
  <si>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</si>
  <si>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</si>
  <si>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</si>
  <si>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</si>
  <si>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</si>
  <si>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</si>
  <si>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</si>
  <si>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</si>
  <si>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</si>
  <si>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</si>
  <si>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</si>
  <si>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</si>
  <si>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</si>
  <si>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</si>
  <si>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</si>
  <si>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</si>
  <si>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</si>
  <si>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</si>
  <si>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</si>
  <si>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</si>
  <si>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</si>
  <si>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</si>
  <si>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</si>
  <si>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</si>
  <si>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</si>
  <si>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</si>
  <si>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</si>
  <si>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</si>
  <si>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</si>
  <si>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</si>
  <si>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</si>
  <si>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</si>
  <si>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</si>
  <si>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</si>
  <si>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</si>
  <si>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</si>
  <si>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</si>
  <si>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</si>
  <si>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</si>
  <si>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</si>
  <si>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</si>
  <si>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</si>
  <si>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</si>
  <si>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</si>
  <si>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</si>
  <si>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</si>
  <si>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</si>
  <si>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</si>
  <si>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</si>
  <si>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</si>
  <si>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</si>
  <si>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</si>
  <si>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</si>
  <si>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</si>
  <si>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</si>
  <si>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</si>
  <si>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</si>
  <si>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</si>
  <si>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</si>
  <si>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</si>
  <si>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</si>
  <si>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</si>
  <si>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</si>
  <si>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</si>
  <si>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</si>
  <si>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</si>
  <si>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</si>
  <si>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</si>
  <si>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</si>
  <si>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</si>
  <si>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</si>
  <si>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</si>
  <si>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</si>
  <si>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</si>
  <si>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</si>
  <si>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</si>
  <si>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</si>
  <si>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</si>
  <si>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</si>
  <si>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</si>
  <si>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</si>
  <si>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</si>
  <si>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</si>
  <si>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</si>
  <si>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</si>
  <si>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</si>
  <si>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</si>
  <si>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</si>
  <si>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</si>
  <si>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</si>
  <si>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</si>
  <si>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</si>
  <si>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</si>
  <si>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</si>
  <si>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</si>
  <si>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</si>
  <si>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</si>
  <si>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</si>
  <si>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</si>
  <si>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</si>
  <si>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</si>
  <si>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</si>
  <si>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</si>
  <si>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</si>
  <si>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</si>
  <si>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</si>
  <si>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</si>
  <si>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</si>
  <si>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</si>
  <si>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</si>
  <si>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</si>
  <si>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</si>
  <si>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</si>
  <si>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</si>
  <si>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</si>
  <si>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</si>
  <si>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</si>
  <si>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</si>
  <si>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</si>
  <si>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</si>
  <si>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</si>
  <si>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</si>
  <si>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</si>
  <si>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</si>
  <si>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</si>
  <si>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</si>
  <si>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</si>
  <si>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</si>
  <si>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</si>
  <si>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</si>
  <si>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</si>
  <si>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</si>
  <si>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</si>
  <si>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</si>
  <si>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</si>
  <si>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</si>
  <si>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</si>
  <si>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</si>
  <si>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</si>
  <si>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</si>
  <si>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</si>
  <si>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</si>
  <si>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</si>
  <si>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</si>
  <si>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</si>
  <si>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</si>
  <si>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</si>
  <si>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</si>
  <si>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</si>
  <si>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</si>
  <si>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</si>
  <si>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</si>
  <si>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</si>
  <si>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</si>
  <si>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</si>
  <si>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</si>
  <si>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</si>
  <si>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</si>
  <si>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</si>
  <si>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</si>
  <si>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</si>
  <si>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</si>
  <si>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</si>
  <si>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</si>
  <si>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</si>
  <si>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</si>
  <si>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</si>
  <si>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</si>
  <si>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</si>
  <si>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</si>
  <si>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</si>
  <si>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</si>
  <si>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</si>
  <si>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</si>
  <si>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</si>
  <si>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</si>
  <si>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</si>
  <si>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</si>
  <si>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</si>
  <si>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</si>
  <si>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</si>
  <si>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</si>
  <si>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</si>
  <si>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</si>
  <si>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</si>
  <si>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</si>
  <si>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</si>
  <si>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</si>
  <si>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</si>
  <si>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</si>
  <si>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</si>
  <si>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</si>
  <si>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</si>
  <si>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</si>
  <si>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</si>
  <si>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</si>
  <si>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</si>
  <si>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</si>
  <si>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</si>
  <si>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</si>
  <si>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</si>
  <si>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</si>
  <si>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</si>
  <si>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</si>
  <si>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</si>
  <si>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</si>
  <si>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</si>
  <si>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</si>
  <si>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</si>
  <si>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</si>
  <si>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</si>
  <si>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</si>
  <si>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</si>
  <si>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</si>
  <si>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</si>
  <si>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</si>
  <si>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</si>
  <si>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</si>
  <si>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</si>
  <si>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</si>
  <si>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</si>
  <si>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</si>
  <si>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</si>
  <si>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</si>
  <si>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</si>
  <si>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</si>
  <si>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</si>
  <si>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</si>
  <si>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</si>
  <si>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</si>
  <si>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</si>
  <si>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</si>
  <si>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</si>
  <si>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</si>
  <si>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</si>
  <si>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</si>
  <si>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</si>
  <si>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</si>
  <si>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</si>
  <si>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</si>
  <si>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</si>
  <si>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</si>
  <si>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</si>
  <si>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</si>
  <si>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</si>
  <si>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</si>
  <si>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</si>
  <si>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</si>
  <si>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</si>
  <si>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</si>
  <si>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</si>
  <si>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</si>
  <si>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</si>
  <si>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</si>
  <si>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</si>
  <si>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</si>
  <si>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</si>
  <si>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</si>
  <si>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</si>
  <si>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</si>
  <si>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</si>
  <si>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</si>
  <si>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</si>
  <si>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</si>
  <si>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</si>
  <si>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</si>
  <si>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</si>
  <si>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</si>
  <si>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</si>
  <si>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</si>
  <si>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</si>
  <si>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</si>
  <si>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</si>
  <si>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</si>
  <si>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</si>
  <si>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</si>
  <si>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</si>
  <si>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</si>
  <si>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</si>
  <si>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</si>
  <si>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</si>
  <si>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</si>
  <si>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</si>
  <si>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</si>
  <si>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</si>
  <si>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</si>
  <si>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</si>
  <si>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</si>
  <si>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</si>
  <si>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</si>
  <si>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</si>
  <si>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</si>
  <si>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</si>
  <si>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</si>
  <si>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</si>
  <si>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</si>
  <si>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</si>
  <si>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</si>
  <si>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</si>
  <si>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</si>
  <si>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</si>
  <si>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</si>
  <si>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</si>
  <si>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</si>
  <si>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</si>
  <si>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</si>
  <si>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</si>
  <si>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</si>
  <si>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</si>
  <si>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</si>
  <si>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</si>
  <si>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</si>
  <si>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</si>
  <si>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</si>
  <si>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</si>
  <si>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</si>
  <si>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</si>
  <si>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</si>
  <si>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</si>
  <si>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</si>
  <si>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</si>
  <si>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</si>
  <si>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</si>
  <si>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</si>
  <si>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</si>
  <si>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</si>
  <si>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</si>
  <si>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</si>
  <si>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</si>
  <si>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</si>
  <si>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</si>
  <si>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</si>
  <si>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</si>
  <si>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</si>
  <si>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</si>
  <si>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</si>
  <si>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</si>
  <si>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</si>
  <si>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</si>
  <si>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</si>
  <si>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</si>
  <si>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</si>
  <si>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</si>
  <si>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</si>
  <si>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</si>
  <si>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</si>
  <si>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</si>
  <si>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</si>
  <si>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</si>
  <si>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</si>
  <si>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</si>
  <si>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</si>
  <si>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</si>
  <si>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</si>
  <si>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</si>
  <si>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</si>
  <si>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</si>
  <si>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</si>
  <si>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</si>
  <si>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</si>
  <si>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</si>
  <si>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</si>
  <si>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</si>
  <si>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</si>
  <si>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</si>
  <si>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</si>
  <si>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</si>
  <si>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</si>
  <si>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</si>
  <si>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</si>
  <si>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</si>
  <si>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</si>
  <si>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</si>
  <si>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</si>
  <si>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</si>
  <si>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</si>
  <si>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</si>
  <si>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</si>
  <si>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</si>
  <si>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</si>
  <si>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</si>
  <si>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</si>
  <si>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</si>
  <si>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</si>
  <si>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</si>
  <si>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</si>
  <si>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</si>
  <si>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</si>
  <si>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</si>
  <si>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</si>
  <si>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</si>
  <si>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</si>
  <si>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</si>
  <si>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</si>
  <si>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</si>
  <si>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</si>
  <si>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</si>
  <si>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</si>
  <si>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</si>
  <si>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</si>
  <si>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</si>
  <si>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</si>
  <si>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</si>
  <si>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</si>
  <si>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</si>
  <si>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</si>
  <si>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</si>
  <si>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</si>
  <si>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</si>
  <si>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</si>
  <si>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</si>
  <si>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</si>
  <si>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</si>
  <si>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</si>
  <si>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</si>
  <si>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</si>
  <si>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</si>
  <si>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</si>
  <si>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</si>
  <si>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</si>
  <si>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</si>
  <si>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</si>
  <si>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</si>
  <si>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</si>
  <si>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</si>
  <si>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</si>
  <si>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</si>
  <si>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</si>
  <si>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</si>
  <si>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</si>
  <si>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</si>
  <si>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</si>
  <si>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</si>
  <si>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</si>
  <si>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</si>
  <si>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</si>
  <si>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</si>
  <si>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</si>
  <si>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</si>
  <si>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</si>
  <si>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</si>
  <si>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</si>
  <si>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</si>
  <si>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</si>
  <si>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</si>
  <si>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</si>
  <si>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</si>
  <si>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</si>
  <si>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</si>
  <si>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</si>
  <si>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</si>
  <si>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</si>
  <si>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</si>
  <si>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</si>
  <si>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</si>
  <si>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</si>
  <si>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</si>
  <si>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</si>
  <si>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</si>
  <si>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</si>
  <si>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</si>
  <si>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</si>
  <si>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</si>
  <si>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</si>
  <si>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</si>
  <si>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</si>
  <si>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</si>
  <si>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</si>
  <si>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</si>
  <si>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</si>
  <si>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</si>
  <si>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</si>
  <si>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</si>
  <si>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</si>
  <si>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</si>
  <si>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</si>
  <si>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</si>
  <si>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</si>
  <si>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</si>
  <si>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</si>
  <si>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</si>
  <si>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</si>
  <si>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</si>
  <si>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</si>
  <si>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</si>
  <si>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</si>
  <si>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</si>
  <si>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</si>
  <si>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</si>
  <si>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</si>
  <si>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</si>
  <si>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</si>
  <si>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</si>
  <si>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</si>
  <si>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</si>
  <si>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</si>
  <si>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</si>
  <si>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</si>
  <si>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</si>
  <si>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</si>
  <si>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</si>
  <si>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</si>
  <si>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</si>
  <si>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</si>
  <si>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</si>
  <si>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</si>
  <si>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</si>
  <si>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</si>
  <si>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</si>
  <si>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</si>
  <si>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</si>
  <si>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</si>
  <si>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</si>
  <si>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</si>
  <si>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</si>
  <si>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</si>
  <si>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</si>
  <si>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</si>
  <si>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</si>
  <si>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</si>
  <si>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</si>
  <si>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</si>
  <si>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</si>
  <si>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</si>
  <si>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</si>
  <si>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</si>
  <si>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</si>
  <si>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</si>
  <si>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</si>
  <si>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</si>
  <si>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</si>
  <si>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</si>
  <si>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</si>
  <si>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</si>
  <si>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</si>
  <si>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</si>
  <si>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</si>
  <si>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</si>
  <si>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</si>
  <si>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</si>
  <si>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</si>
  <si>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</si>
  <si>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</si>
  <si>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</si>
  <si>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</si>
  <si>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</si>
  <si>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</si>
  <si>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</si>
  <si>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</si>
  <si>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</si>
  <si>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</si>
  <si>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</si>
  <si>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</si>
  <si>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</si>
  <si>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</si>
  <si>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</si>
  <si>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</si>
  <si>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</si>
  <si>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</si>
  <si>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</si>
  <si>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</si>
  <si>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</si>
  <si>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</si>
  <si>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</si>
  <si>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</si>
  <si>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</si>
  <si>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</si>
  <si>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</si>
  <si>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</si>
  <si>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</si>
  <si>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</si>
  <si>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</si>
  <si>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</si>
  <si>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</si>
  <si>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</si>
  <si>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</si>
  <si>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</si>
  <si>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</si>
  <si>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</si>
  <si>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</si>
  <si>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</si>
  <si>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</si>
  <si>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</si>
  <si>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</si>
  <si>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</si>
  <si>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</si>
  <si>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</si>
  <si>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</si>
  <si>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</si>
  <si>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</si>
  <si>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</si>
  <si>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</si>
  <si>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</si>
  <si>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</si>
  <si>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</si>
  <si>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</si>
  <si>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</si>
  <si>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</si>
  <si>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</si>
  <si>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</si>
  <si>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</si>
  <si>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</si>
  <si>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</si>
  <si>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</si>
  <si>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</si>
  <si>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</si>
  <si>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</si>
  <si>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</si>
  <si>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</si>
  <si>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</si>
  <si>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</si>
  <si>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</si>
  <si>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</si>
  <si>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</si>
  <si>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</si>
  <si>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</si>
  <si>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</si>
  <si>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</si>
  <si>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</si>
  <si>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</si>
  <si>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</si>
  <si>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</si>
  <si>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</si>
  <si>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</si>
  <si>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</si>
  <si>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</si>
  <si>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</si>
  <si>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</si>
  <si>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</si>
  <si>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</si>
  <si>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</si>
  <si>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</si>
  <si>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</si>
  <si>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</si>
  <si>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</si>
  <si>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</si>
  <si>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</si>
  <si>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</si>
  <si>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</si>
  <si>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</si>
  <si>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</si>
  <si>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</si>
  <si>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</si>
  <si>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</si>
  <si>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</si>
  <si>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</si>
  <si>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</si>
  <si>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</si>
  <si>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</si>
  <si>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</si>
  <si>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</si>
  <si>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</si>
  <si>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</si>
  <si>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</si>
  <si>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</si>
  <si>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</si>
  <si>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</si>
  <si>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</si>
  <si>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</si>
  <si>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</si>
  <si>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</si>
  <si>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</si>
  <si>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</si>
  <si>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</si>
  <si>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</si>
  <si>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</si>
  <si>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</si>
  <si>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</si>
  <si>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</si>
  <si>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</si>
  <si>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</si>
  <si>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</si>
  <si>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</si>
  <si>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</si>
  <si>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</si>
  <si>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</si>
  <si>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</si>
  <si>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</si>
  <si>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</si>
  <si>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</si>
  <si>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</si>
  <si>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</si>
  <si>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</si>
  <si>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</si>
  <si>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</si>
  <si>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</si>
  <si>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</si>
  <si>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</si>
  <si>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</si>
  <si>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</si>
  <si>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</si>
  <si>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</si>
  <si>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</si>
  <si>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</si>
  <si>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</si>
  <si>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</si>
  <si>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</si>
  <si>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</si>
  <si>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</si>
  <si>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</si>
  <si>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</si>
  <si>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</si>
  <si>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</si>
  <si>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</si>
  <si>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</si>
  <si>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</si>
  <si>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</si>
  <si>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</si>
  <si>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</si>
  <si>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</si>
  <si>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</si>
  <si>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</si>
  <si>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</si>
  <si>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</si>
  <si>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</si>
  <si>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</si>
  <si>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</si>
  <si>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</si>
  <si>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</si>
  <si>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</si>
  <si>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</si>
  <si>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</si>
  <si>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</si>
  <si>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</si>
  <si>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</si>
  <si>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</si>
  <si>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</si>
  <si>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</si>
  <si>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</si>
  <si>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</si>
  <si>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</si>
  <si>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</si>
  <si>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</si>
  <si>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</si>
  <si>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</si>
  <si>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</si>
  <si>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</si>
  <si>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</si>
  <si>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</si>
  <si>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</si>
  <si>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</si>
  <si>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</si>
  <si>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</si>
  <si>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</si>
  <si>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</si>
  <si>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</si>
  <si>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</si>
  <si>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</si>
  <si>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</si>
  <si>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</si>
  <si>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</si>
  <si>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</si>
  <si>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</si>
  <si>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</si>
  <si>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</si>
  <si>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</si>
  <si>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</si>
  <si>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</si>
  <si>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</si>
  <si>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</si>
  <si>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</si>
  <si>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</si>
  <si>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</si>
  <si>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</si>
  <si>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</si>
  <si>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</si>
  <si>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</si>
  <si>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</si>
  <si>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</si>
  <si>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</si>
  <si>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</si>
  <si>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</si>
  <si>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</si>
  <si>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</si>
  <si>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</si>
  <si>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</si>
  <si>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</si>
  <si>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</si>
  <si>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</si>
  <si>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</si>
  <si>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</si>
  <si>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</si>
  <si>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</si>
  <si>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</si>
  <si>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</si>
  <si>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</si>
  <si>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</si>
  <si>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</si>
  <si>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</si>
  <si>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</si>
  <si>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</si>
  <si>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</si>
  <si>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</si>
  <si>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</si>
  <si>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</si>
  <si>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</si>
  <si>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</si>
  <si>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</si>
  <si>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</si>
  <si>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</si>
  <si>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</si>
  <si>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</si>
  <si>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</si>
  <si>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</si>
  <si>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</si>
  <si>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</si>
  <si>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</si>
  <si>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</si>
  <si>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</si>
  <si>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</si>
  <si>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</si>
  <si>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</si>
  <si>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</si>
  <si>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</si>
  <si>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</si>
  <si>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</si>
  <si>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</si>
  <si>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</si>
  <si>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</si>
  <si>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</si>
  <si>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</si>
  <si>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</si>
  <si>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</si>
  <si>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</si>
  <si>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</si>
  <si>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</si>
  <si>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</si>
  <si>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</si>
  <si>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</si>
  <si>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</si>
  <si>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</si>
  <si>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</si>
  <si>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</si>
  <si>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</si>
  <si>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</si>
  <si>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</si>
  <si>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</si>
  <si>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</si>
  <si>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</si>
  <si>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</si>
  <si>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</si>
  <si>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</si>
  <si>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</si>
  <si>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</si>
  <si>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</si>
  <si>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</si>
  <si>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</si>
  <si>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</si>
  <si>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</si>
  <si>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</si>
  <si>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</si>
  <si>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</si>
  <si>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</si>
  <si>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</si>
  <si>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</si>
  <si>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</si>
  <si>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</si>
  <si>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</si>
  <si>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</si>
  <si>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</si>
  <si>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</si>
  <si>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</si>
  <si>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</si>
  <si>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</si>
  <si>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</si>
  <si>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</si>
  <si>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</si>
  <si>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</si>
  <si>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</si>
  <si>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</si>
  <si>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</si>
  <si>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</si>
  <si>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</si>
  <si>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</si>
  <si>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</si>
  <si>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</si>
  <si>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</si>
  <si>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</si>
  <si>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</si>
  <si>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</si>
  <si>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</si>
  <si>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</si>
  <si>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</si>
  <si>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</si>
  <si>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</si>
  <si>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</si>
  <si>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</si>
  <si>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</si>
  <si>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</si>
  <si>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</si>
  <si>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</si>
  <si>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</si>
  <si>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</si>
  <si>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</si>
  <si>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</si>
  <si>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</si>
  <si>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</si>
  <si>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</si>
  <si>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</si>
  <si>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</si>
  <si>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</si>
  <si>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</si>
  <si>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</si>
  <si>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</si>
  <si>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</si>
  <si>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</si>
  <si>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</si>
  <si>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</si>
  <si>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</si>
  <si>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</si>
  <si>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</si>
  <si>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</si>
  <si>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</si>
  <si>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</si>
  <si>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</si>
  <si>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</si>
  <si>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</si>
  <si>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</si>
  <si>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</si>
  <si>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</si>
  <si>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</si>
  <si>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</si>
  <si>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</si>
  <si>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</si>
  <si>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</si>
  <si>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</si>
  <si>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</si>
  <si>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</si>
  <si>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</si>
  <si>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</si>
  <si>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</si>
  <si>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</si>
  <si>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</si>
  <si>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</si>
  <si>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</si>
  <si>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</si>
  <si>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</si>
  <si>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</si>
  <si>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</si>
  <si>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</si>
  <si>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</si>
  <si>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</si>
  <si>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</si>
  <si>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</si>
  <si>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</si>
  <si>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</si>
  <si>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</si>
  <si>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</si>
  <si>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</si>
  <si>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</si>
  <si>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</si>
  <si>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</si>
  <si>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</si>
  <si>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</si>
  <si>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</si>
  <si>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</si>
  <si>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</si>
  <si>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</si>
  <si>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</si>
  <si>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</si>
  <si>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</si>
  <si>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</si>
  <si>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</si>
  <si>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</si>
  <si>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</si>
  <si>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</si>
  <si>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</si>
  <si>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</si>
  <si>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</si>
  <si>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</si>
  <si>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</si>
  <si>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</si>
  <si>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</si>
  <si>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</si>
  <si>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</si>
  <si>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</si>
  <si>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</si>
  <si>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</si>
  <si>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</si>
  <si>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</si>
  <si>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</si>
  <si>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</si>
  <si>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</si>
  <si>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</si>
  <si>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</si>
  <si>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</si>
  <si>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</si>
  <si>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</si>
  <si>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</si>
  <si>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</si>
  <si>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</si>
  <si>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</si>
  <si>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</si>
  <si>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</si>
  <si>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</si>
  <si>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</si>
  <si>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</si>
  <si>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</si>
  <si>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</si>
  <si>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</si>
  <si>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</si>
  <si>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</si>
  <si>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</si>
  <si>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</si>
  <si>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</si>
  <si>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</si>
  <si>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</si>
  <si>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</si>
  <si>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</si>
  <si>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</si>
  <si>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</si>
  <si>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</si>
  <si>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</si>
  <si>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</si>
  <si>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</si>
  <si>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</si>
  <si>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</si>
  <si>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</si>
  <si>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</si>
  <si>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</si>
  <si>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</si>
  <si>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</si>
  <si>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</si>
  <si>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</si>
  <si>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</si>
  <si>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</si>
  <si>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</si>
  <si>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</si>
  <si>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</si>
  <si>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</si>
  <si>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</si>
  <si>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</si>
  <si>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</si>
  <si>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</si>
  <si>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</si>
  <si>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</si>
  <si>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</si>
  <si>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</si>
  <si>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</si>
  <si>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</si>
  <si>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</si>
  <si>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</si>
  <si>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</si>
  <si>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</si>
  <si>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</si>
  <si>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</si>
  <si>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</si>
  <si>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</si>
  <si>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</si>
  <si>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</si>
  <si>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</si>
  <si>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</si>
  <si>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</si>
  <si>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</si>
  <si>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</si>
  <si>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</si>
  <si>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</si>
  <si>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</si>
  <si>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</si>
  <si>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</si>
  <si>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</si>
  <si>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</si>
  <si>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</si>
  <si>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</si>
  <si>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</si>
  <si>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</si>
  <si>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</si>
  <si>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</si>
  <si>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</si>
  <si>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</si>
  <si>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</si>
  <si>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</si>
  <si>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</si>
  <si>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</si>
  <si>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</si>
  <si>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</si>
  <si>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</si>
  <si>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</si>
  <si>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</si>
  <si>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</si>
  <si>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</si>
  <si>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</si>
  <si>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</si>
  <si>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</si>
  <si>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</si>
  <si>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</si>
  <si>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</si>
  <si>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</si>
  <si>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</si>
  <si>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</si>
  <si>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</si>
  <si>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</si>
  <si>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</si>
  <si>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</si>
  <si>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</si>
  <si>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</si>
  <si>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</si>
  <si>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</si>
  <si>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</si>
  <si>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</si>
  <si>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</si>
  <si>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</si>
  <si>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</si>
  <si>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</si>
  <si>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</si>
  <si>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</si>
  <si>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</si>
  <si>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</si>
  <si>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</si>
  <si>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</si>
  <si>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</si>
  <si>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</si>
  <si>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</si>
  <si>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</si>
  <si>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</si>
  <si>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</si>
  <si>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</si>
  <si>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</si>
  <si>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</si>
  <si>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</si>
  <si>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</si>
  <si>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</si>
  <si>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</si>
  <si>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</si>
  <si>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</si>
  <si>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</si>
  <si>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</si>
  <si>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</si>
  <si>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</si>
  <si>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</si>
  <si>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</si>
  <si>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</si>
  <si>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</si>
  <si>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</si>
  <si>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</si>
  <si>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</si>
  <si>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</si>
  <si>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</si>
  <si>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</si>
  <si>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</si>
  <si>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</si>
  <si>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</si>
  <si>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</si>
  <si>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</si>
  <si>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</si>
  <si>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</si>
  <si>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</si>
  <si>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</si>
  <si>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</si>
  <si>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</si>
  <si>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</si>
  <si>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</si>
  <si>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</si>
  <si>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</si>
  <si>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</si>
  <si>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</si>
  <si>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</si>
  <si>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</si>
  <si>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</si>
  <si>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</si>
  <si>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</si>
  <si>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</si>
  <si>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</si>
  <si>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</si>
  <si>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</si>
  <si>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</si>
  <si>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</si>
  <si>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</si>
  <si>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</si>
  <si>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</si>
  <si>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</si>
  <si>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</si>
  <si>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</si>
  <si>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</si>
  <si>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</si>
  <si>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</si>
  <si>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</si>
  <si>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</si>
  <si>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</si>
  <si>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</si>
  <si>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</si>
  <si>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</si>
  <si>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</si>
  <si>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</si>
  <si>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</si>
  <si>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</si>
  <si>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</si>
  <si>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</si>
  <si>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</si>
  <si>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</si>
  <si>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</si>
  <si>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</si>
  <si>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</si>
  <si>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</si>
  <si>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</si>
  <si>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</si>
  <si>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</si>
  <si>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</si>
  <si>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</si>
  <si>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</si>
  <si>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</si>
  <si>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</si>
  <si>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</si>
  <si>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</si>
  <si>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</si>
  <si>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</si>
  <si>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</si>
  <si>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</si>
  <si>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</si>
  <si>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</si>
  <si>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</si>
  <si>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</si>
  <si>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</si>
  <si>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</si>
  <si>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</si>
  <si>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</si>
  <si>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</si>
  <si>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</si>
  <si>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</si>
  <si>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</si>
  <si>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</si>
  <si>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</si>
  <si>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</si>
  <si>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</si>
  <si>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</si>
  <si>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</si>
  <si>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</si>
  <si>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</si>
  <si>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</si>
  <si>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</si>
  <si>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</si>
  <si>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</si>
  <si>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</si>
  <si>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</si>
  <si>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</si>
  <si>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</si>
  <si>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</si>
  <si>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</si>
  <si>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</si>
  <si>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</si>
  <si>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</si>
  <si>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</si>
  <si>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</si>
  <si>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</si>
  <si>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</si>
  <si>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</si>
  <si>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</si>
  <si>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</si>
  <si>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</si>
  <si>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</si>
  <si>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</si>
  <si>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</si>
  <si>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</si>
  <si>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</si>
  <si>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</si>
  <si>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</si>
  <si>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</si>
  <si>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</si>
  <si>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</si>
  <si>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</si>
  <si>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</si>
  <si>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</si>
  <si>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</si>
  <si>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</si>
  <si>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</si>
  <si>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</si>
  <si>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</si>
  <si>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</si>
  <si>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</si>
  <si>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</si>
  <si>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</si>
  <si>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</si>
  <si>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</si>
  <si>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</si>
  <si>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</si>
  <si>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</si>
  <si>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</si>
  <si>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</si>
  <si>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</si>
  <si>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</si>
  <si>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</si>
  <si>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</si>
  <si>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</si>
  <si>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</si>
  <si>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</si>
  <si>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</si>
  <si>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</si>
  <si>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</si>
  <si>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</si>
  <si>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</si>
  <si>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</si>
  <si>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</si>
  <si>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</si>
  <si>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</si>
  <si>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</si>
  <si>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</si>
  <si>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</si>
  <si>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</si>
  <si>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</si>
  <si>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</si>
  <si>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</si>
  <si>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</si>
  <si>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</si>
  <si>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</si>
  <si>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</si>
  <si>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</si>
  <si>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</si>
  <si>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</si>
  <si>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</si>
  <si>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</si>
  <si>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</si>
  <si>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</si>
  <si>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</si>
  <si>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</si>
  <si>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</si>
  <si>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</si>
  <si>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</si>
  <si>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</si>
  <si>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</si>
  <si>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</si>
  <si>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</si>
  <si>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</si>
  <si>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</si>
  <si>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</si>
  <si>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</si>
  <si>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</si>
  <si>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</si>
  <si>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</si>
  <si>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</si>
  <si>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</si>
  <si>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</si>
  <si>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</si>
  <si>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</si>
  <si>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</si>
  <si>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</si>
  <si>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</si>
  <si>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</si>
  <si>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</si>
  <si>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</si>
  <si>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</si>
  <si>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</si>
  <si>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</si>
  <si>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</si>
  <si>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</si>
  <si>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</si>
  <si>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</si>
  <si>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</si>
  <si>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</si>
  <si>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</si>
  <si>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</si>
  <si>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</si>
  <si>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</si>
  <si>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</si>
  <si>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</si>
  <si>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</si>
  <si>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</si>
  <si>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</si>
  <si>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</si>
  <si>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</si>
  <si>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</si>
  <si>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</si>
  <si>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</si>
  <si>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</si>
  <si>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</si>
  <si>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</si>
  <si>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</si>
  <si>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</si>
  <si>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</si>
  <si>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</si>
  <si>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</si>
  <si>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</si>
  <si>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</si>
  <si>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</si>
  <si>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</si>
  <si>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</si>
  <si>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</si>
  <si>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</si>
  <si>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</si>
  <si>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</si>
  <si>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</si>
  <si>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</si>
  <si>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</si>
  <si>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</si>
  <si>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</si>
  <si>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</si>
  <si>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</si>
  <si>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</si>
  <si>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</si>
  <si>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</si>
  <si>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</si>
  <si>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</si>
  <si>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</si>
  <si>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</si>
  <si>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</si>
  <si>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</si>
  <si>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</si>
  <si>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</si>
  <si>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</si>
  <si>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</si>
  <si>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</si>
  <si>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</si>
  <si>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</si>
  <si>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</si>
  <si>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</si>
  <si>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</si>
  <si>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</si>
  <si>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</si>
  <si>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</si>
  <si>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</si>
  <si>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</si>
  <si>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</si>
  <si>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</si>
  <si>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</si>
  <si>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</si>
  <si>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</si>
  <si>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</si>
  <si>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</si>
  <si>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</si>
  <si>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</si>
  <si>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</si>
  <si>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</si>
  <si>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</si>
  <si>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</si>
  <si>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</si>
  <si>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</si>
  <si>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</si>
  <si>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</si>
  <si>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</si>
  <si>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</si>
  <si>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</si>
  <si>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</si>
  <si>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</si>
  <si>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</si>
  <si>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</si>
  <si>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</si>
  <si>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</si>
  <si>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</si>
  <si>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</si>
  <si>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</si>
  <si>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</si>
  <si>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</si>
  <si>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</si>
  <si>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</si>
  <si>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</si>
  <si>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</si>
  <si>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</si>
  <si>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</si>
  <si>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</si>
  <si>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</si>
  <si>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</si>
  <si>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</si>
  <si>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</si>
  <si>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</si>
  <si>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</si>
  <si>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</si>
  <si>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</si>
  <si>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</si>
  <si>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</si>
  <si>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</si>
  <si>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</si>
  <si>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</si>
  <si>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</si>
  <si>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</si>
  <si>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</si>
  <si>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</si>
  <si>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</si>
  <si>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</si>
  <si>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</si>
  <si>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</si>
  <si>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</si>
  <si>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</si>
  <si>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</si>
  <si>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</si>
  <si>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</si>
  <si>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</si>
  <si>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</si>
  <si>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</si>
  <si>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</si>
  <si>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</si>
  <si>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</si>
  <si>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</si>
  <si>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</si>
  <si>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</si>
  <si>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</si>
  <si>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</si>
  <si>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</si>
  <si>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</si>
  <si>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</si>
  <si>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</si>
  <si>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</si>
  <si>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</si>
  <si>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</si>
  <si>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</si>
  <si>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</si>
  <si>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</si>
  <si>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</si>
  <si>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</si>
  <si>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</si>
  <si>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</si>
  <si>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</si>
  <si>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</si>
  <si>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</si>
  <si>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</si>
  <si>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</si>
  <si>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</si>
  <si>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</si>
  <si>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</si>
  <si>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</si>
  <si>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</si>
  <si>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</si>
  <si>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</si>
  <si>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</si>
  <si>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</si>
  <si>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</si>
  <si>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</si>
  <si>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</si>
  <si>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</si>
  <si>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</si>
  <si>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</si>
  <si>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</si>
  <si>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</si>
  <si>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</si>
  <si>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</si>
  <si>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</si>
  <si>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</si>
  <si>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</si>
  <si>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</si>
  <si>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</si>
  <si>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</si>
  <si>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</si>
  <si>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</si>
  <si>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</si>
  <si>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</si>
  <si>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</si>
  <si>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</si>
  <si>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</si>
  <si>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</si>
  <si>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</si>
  <si>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</si>
  <si>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</si>
  <si>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</si>
  <si>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</si>
  <si>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</si>
  <si>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</si>
  <si>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</si>
  <si>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</si>
  <si>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</si>
  <si>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</si>
  <si>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</si>
  <si>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</si>
  <si>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</si>
  <si>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</si>
  <si>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</si>
  <si>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</si>
  <si>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</si>
  <si>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</si>
  <si>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</si>
  <si>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</si>
  <si>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</si>
  <si>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</si>
  <si>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</si>
  <si>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</si>
  <si>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</si>
  <si>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</si>
  <si>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</si>
  <si>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</si>
  <si>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</si>
  <si>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</si>
  <si>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</si>
  <si>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</si>
  <si>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</si>
  <si>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</si>
  <si>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</si>
  <si>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</si>
  <si>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</si>
  <si>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</si>
  <si>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</si>
  <si>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</si>
  <si>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</si>
  <si>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</si>
  <si>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</si>
  <si>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</si>
  <si>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</si>
  <si>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</si>
  <si>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</si>
  <si>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</si>
  <si>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</si>
  <si>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</si>
  <si>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</si>
  <si>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</si>
  <si>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</si>
  <si>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</si>
  <si>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</si>
  <si>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</si>
  <si>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</si>
  <si>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</si>
  <si>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</si>
  <si>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</si>
  <si>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</si>
  <si>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</si>
  <si>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</si>
  <si>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</si>
  <si>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</si>
  <si>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</si>
  <si>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</si>
  <si>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</si>
  <si>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</si>
  <si>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</si>
  <si>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</si>
  <si>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</si>
  <si>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</si>
  <si>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</si>
  <si>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</si>
  <si>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</si>
  <si>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</si>
  <si>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</si>
  <si>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</si>
  <si>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</si>
  <si>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</si>
  <si>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</si>
  <si>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</si>
  <si>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</si>
  <si>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</si>
  <si>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</si>
  <si>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</si>
  <si>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</si>
  <si>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</si>
  <si>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</si>
  <si>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</si>
  <si>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</si>
  <si>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</si>
  <si>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</si>
  <si>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</si>
  <si>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</si>
  <si>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</si>
  <si>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</si>
  <si>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</si>
  <si>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</si>
  <si>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</si>
  <si>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</si>
  <si>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</si>
  <si>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</si>
  <si>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</si>
  <si>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</si>
  <si>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</si>
  <si>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</si>
  <si>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</si>
  <si>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</si>
  <si>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</si>
  <si>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</si>
  <si>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</si>
  <si>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</si>
  <si>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</si>
  <si>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</si>
  <si>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</si>
  <si>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</si>
  <si>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</si>
  <si>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</si>
  <si>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</si>
  <si>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</si>
  <si>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</si>
  <si>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</si>
  <si>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</si>
  <si>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</si>
  <si>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</si>
  <si>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</si>
  <si>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</si>
  <si>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</si>
  <si>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</si>
  <si>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</si>
  <si>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</si>
  <si>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</si>
  <si>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</si>
  <si>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</si>
  <si>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</si>
  <si>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</si>
  <si>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</si>
  <si>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</si>
  <si>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</si>
  <si>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</si>
  <si>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</si>
  <si>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</si>
  <si>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</si>
  <si>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</si>
  <si>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</si>
  <si>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</si>
  <si>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</si>
  <si>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</si>
  <si>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</si>
  <si>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</si>
  <si>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</si>
  <si>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</si>
  <si>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</si>
  <si>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</si>
  <si>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</si>
  <si>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</si>
  <si>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</si>
  <si>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</si>
  <si>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</si>
  <si>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</si>
  <si>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</si>
  <si>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</si>
  <si>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</si>
  <si>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</si>
  <si>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</si>
  <si>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</si>
  <si>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</si>
  <si>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</si>
  <si>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</si>
  <si>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</si>
  <si>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</si>
  <si>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</si>
  <si>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</si>
  <si>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</si>
  <si>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</si>
  <si>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</si>
  <si>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</si>
  <si>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</si>
  <si>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</si>
  <si>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</si>
  <si>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</si>
  <si>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</si>
  <si>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</si>
  <si>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</si>
  <si>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</si>
  <si>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</si>
  <si>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</si>
  <si>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</si>
  <si>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</si>
  <si>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</si>
  <si>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</si>
  <si>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</si>
  <si>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</si>
  <si>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</si>
  <si>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</si>
  <si>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</si>
  <si>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</si>
  <si>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</si>
  <si>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</si>
  <si>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</si>
  <si>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</si>
  <si>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</si>
  <si>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</si>
  <si>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</si>
  <si>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</si>
  <si>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</si>
  <si>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</si>
  <si>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</si>
  <si>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</si>
  <si>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</si>
  <si>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</si>
  <si>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</si>
  <si>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</si>
  <si>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</si>
  <si>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</si>
  <si>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</si>
  <si>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</si>
  <si>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</si>
  <si>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</si>
  <si>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</si>
  <si>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</si>
  <si>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</si>
  <si>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</si>
  <si>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</si>
  <si>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</si>
  <si>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</si>
  <si>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</si>
  <si>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</si>
  <si>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</si>
  <si>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</si>
  <si>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</si>
  <si>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</si>
  <si>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</si>
  <si>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</si>
  <si>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</si>
  <si>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</si>
  <si>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</si>
  <si>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</si>
  <si>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</si>
  <si>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</si>
  <si>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</si>
  <si>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</si>
  <si>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</si>
  <si>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</si>
  <si>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</si>
  <si>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</si>
  <si>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</si>
  <si>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</si>
  <si>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</si>
  <si>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</si>
  <si>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</si>
  <si>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</si>
  <si>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</si>
  <si>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</si>
  <si>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</si>
  <si>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</si>
  <si>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</si>
  <si>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</si>
  <si>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</si>
  <si>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</si>
  <si>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</si>
  <si>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</si>
  <si>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</si>
  <si>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</si>
  <si>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</si>
  <si>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</si>
  <si>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</si>
  <si>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</si>
  <si>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</si>
  <si>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</si>
  <si>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</si>
  <si>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</si>
  <si>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</si>
  <si>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</si>
  <si>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</si>
  <si>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</si>
  <si>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</si>
  <si>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</si>
  <si>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</si>
  <si>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</si>
  <si>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</si>
  <si>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</si>
  <si>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</si>
  <si>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</si>
  <si>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</si>
  <si>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</si>
  <si>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</si>
  <si>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</si>
  <si>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</si>
  <si>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</si>
  <si>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</si>
  <si>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</si>
  <si>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</si>
  <si>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</si>
  <si>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</si>
  <si>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</si>
  <si>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</si>
  <si>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</si>
  <si>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</si>
  <si>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</si>
  <si>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</si>
  <si>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</si>
  <si>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</si>
  <si>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</si>
  <si>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</si>
  <si>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</si>
  <si>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</si>
  <si>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</si>
  <si>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</si>
  <si>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</si>
  <si>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</si>
  <si>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</si>
  <si>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</si>
  <si>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</si>
  <si>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</si>
  <si>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</si>
  <si>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</si>
  <si>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</si>
  <si>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</si>
  <si>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</si>
  <si>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</si>
  <si>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</si>
  <si>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</si>
  <si>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</si>
  <si>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</si>
  <si>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</si>
  <si>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</si>
  <si>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</si>
  <si>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</si>
  <si>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</si>
  <si>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</si>
  <si>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</si>
  <si>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</si>
  <si>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</si>
  <si>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</si>
  <si>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</si>
  <si>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</si>
  <si>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</si>
  <si>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</si>
  <si>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</si>
  <si>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</si>
  <si>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</si>
  <si>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</si>
  <si>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</si>
  <si>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</si>
  <si>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</si>
  <si>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</si>
  <si>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</si>
  <si>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</si>
  <si>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</si>
  <si>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</si>
  <si>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</si>
  <si>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</si>
  <si>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</si>
  <si>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</si>
  <si>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</si>
  <si>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</si>
  <si>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</si>
  <si>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</si>
  <si>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</si>
  <si>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</si>
  <si>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</si>
  <si>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</si>
  <si>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</si>
  <si>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</si>
  <si>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</si>
  <si>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</si>
  <si>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</si>
  <si>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</si>
  <si>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</si>
  <si>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</si>
  <si>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</si>
  <si>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</si>
  <si>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</si>
  <si>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</si>
  <si>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</si>
  <si>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</si>
  <si>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</si>
  <si>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</si>
  <si>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</si>
  <si>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</si>
  <si>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</si>
  <si>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</si>
  <si>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</si>
  <si>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</si>
  <si>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</si>
  <si>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</si>
  <si>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</si>
  <si>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</si>
  <si>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</si>
  <si>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</si>
  <si>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</si>
  <si>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</si>
  <si>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</si>
  <si>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</si>
  <si>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</si>
  <si>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</si>
  <si>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</si>
  <si>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</si>
  <si>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</si>
  <si>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</si>
  <si>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</si>
  <si>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</si>
  <si>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</si>
  <si>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</si>
  <si>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</si>
  <si>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</si>
  <si>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</si>
  <si>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</si>
  <si>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</si>
  <si>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</si>
  <si>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</si>
  <si>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</si>
  <si>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</si>
  <si>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</si>
  <si>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</si>
  <si>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</si>
  <si>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</si>
  <si>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</si>
  <si>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</si>
  <si>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</si>
  <si>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</si>
  <si>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</si>
  <si>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</si>
  <si>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</si>
  <si>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</si>
  <si>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</si>
  <si>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</si>
  <si>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</si>
  <si>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</si>
  <si>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</si>
  <si>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</si>
  <si>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</si>
  <si>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</si>
  <si>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</si>
  <si>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</si>
  <si>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</si>
  <si>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</si>
  <si>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</si>
  <si>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</si>
  <si>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</si>
  <si>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</si>
  <si>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</si>
  <si>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</si>
  <si>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</si>
  <si>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</si>
  <si>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</si>
  <si>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</si>
  <si>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</si>
  <si>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</si>
  <si>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</si>
  <si>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</si>
  <si>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</si>
  <si>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</si>
  <si>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</si>
  <si>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</si>
  <si>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</si>
  <si>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</si>
  <si>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</si>
  <si>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</si>
  <si>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</si>
  <si>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</si>
  <si>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</si>
  <si>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</si>
  <si>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</si>
  <si>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</si>
  <si>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</si>
  <si>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</si>
  <si>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</si>
  <si>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</si>
  <si>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</si>
  <si>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</si>
  <si>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</si>
  <si>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</si>
  <si>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</si>
  <si>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</si>
  <si>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</si>
  <si>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</si>
  <si>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</si>
  <si>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</si>
  <si>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</si>
  <si>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</si>
  <si>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</si>
  <si>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</si>
  <si>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</si>
  <si>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</si>
  <si>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</si>
  <si>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</si>
  <si>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</si>
  <si>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</si>
  <si>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</si>
  <si>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</si>
  <si>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</si>
  <si>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</si>
  <si>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</si>
  <si>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</si>
  <si>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</si>
  <si>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</si>
  <si>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</si>
  <si>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</si>
  <si>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</si>
  <si>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</si>
  <si>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</si>
  <si>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</si>
  <si>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</si>
  <si>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</si>
  <si>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</si>
  <si>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</si>
  <si>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</si>
  <si>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</si>
  <si>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</si>
  <si>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</si>
  <si>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</si>
  <si>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</si>
  <si>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</si>
  <si>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</si>
  <si>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</si>
  <si>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</si>
  <si>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</si>
  <si>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</si>
  <si>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</si>
  <si>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</si>
  <si>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</si>
  <si>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</si>
  <si>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</si>
  <si>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</si>
  <si>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</si>
  <si>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</si>
  <si>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</si>
  <si>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</si>
  <si>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</si>
  <si>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</si>
  <si>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</si>
  <si>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</si>
  <si>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</si>
  <si>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</si>
  <si>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</si>
  <si>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</si>
  <si>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</si>
  <si>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</si>
  <si>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</si>
  <si>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</si>
  <si>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</si>
  <si>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</si>
  <si>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</si>
  <si>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</si>
  <si>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</si>
  <si>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</si>
  <si>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</si>
  <si>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</si>
  <si>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</si>
  <si>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</si>
  <si>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</si>
  <si>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</si>
  <si>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</si>
  <si>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</si>
  <si>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</si>
  <si>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</si>
  <si>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</si>
  <si>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</si>
  <si>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</si>
  <si>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</si>
  <si>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</si>
  <si>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</si>
  <si>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</si>
  <si>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</si>
  <si>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</si>
  <si>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</si>
  <si>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</si>
  <si>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</si>
  <si>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</si>
  <si>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</si>
  <si>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</si>
  <si>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</si>
  <si>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</si>
  <si>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</si>
  <si>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</si>
  <si>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</si>
  <si>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</si>
  <si>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</si>
  <si>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</si>
  <si>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</si>
  <si>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</si>
  <si>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</si>
  <si>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</si>
  <si>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</si>
  <si>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</si>
  <si>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</si>
  <si>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</si>
  <si>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</si>
  <si>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</si>
  <si>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</si>
  <si>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</si>
  <si>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</si>
  <si>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</si>
  <si>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</si>
  <si>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</si>
  <si>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</si>
  <si>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</si>
  <si>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</si>
  <si>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</si>
  <si>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</si>
  <si>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</si>
  <si>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</si>
  <si>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</si>
  <si>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</si>
  <si>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</si>
  <si>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</si>
  <si>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</si>
  <si>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</si>
  <si>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</si>
  <si>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</si>
  <si>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</si>
  <si>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</si>
  <si>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</si>
  <si>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</si>
  <si>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</si>
  <si>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</si>
  <si>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</si>
  <si>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</si>
  <si>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</si>
  <si>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</si>
  <si>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</si>
  <si>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</si>
  <si>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</si>
  <si>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</si>
  <si>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</si>
  <si>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</si>
  <si>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</si>
  <si>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</si>
  <si>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</si>
  <si>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</si>
  <si>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</si>
  <si>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</si>
  <si>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</si>
  <si>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</si>
  <si>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</si>
  <si>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</si>
  <si>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</si>
  <si>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</si>
  <si>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</si>
  <si>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</si>
  <si>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</si>
  <si>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</si>
  <si>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</si>
  <si>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</si>
  <si>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</si>
  <si>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</si>
  <si>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</si>
  <si>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</si>
  <si>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</si>
  <si>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</si>
  <si>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</si>
  <si>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</si>
  <si>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</si>
  <si>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</si>
  <si>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</si>
  <si>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</si>
  <si>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</si>
  <si>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</si>
  <si>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</si>
  <si>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</si>
  <si>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</si>
  <si>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</si>
  <si>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</si>
  <si>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</si>
  <si>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</si>
  <si>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</si>
  <si>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</si>
  <si>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</si>
  <si>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</si>
  <si>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</si>
  <si>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</si>
  <si>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</si>
  <si>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</si>
  <si>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</si>
  <si>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</si>
  <si>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</si>
  <si>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</si>
  <si>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</si>
  <si>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</si>
  <si>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</si>
  <si>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</si>
  <si>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</si>
  <si>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</si>
  <si>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</si>
  <si>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</si>
  <si>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</si>
  <si>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</si>
  <si>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</si>
  <si>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</si>
  <si>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</si>
  <si>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</si>
  <si>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</si>
  <si>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</si>
  <si>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</si>
  <si>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</si>
  <si>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</si>
  <si>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</si>
  <si>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</si>
  <si>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</si>
  <si>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</si>
  <si>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</si>
  <si>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</si>
  <si>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</si>
  <si>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</si>
  <si>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</si>
  <si>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</si>
  <si>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</si>
  <si>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</si>
  <si>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</si>
  <si>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</si>
  <si>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</si>
  <si>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</si>
  <si>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</si>
  <si>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</si>
  <si>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</si>
  <si>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</si>
  <si>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</si>
  <si>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</si>
  <si>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</si>
  <si>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</si>
  <si>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</si>
  <si>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</si>
  <si>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</si>
  <si>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</si>
  <si>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</si>
  <si>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</si>
  <si>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</si>
  <si>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</si>
  <si>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</si>
  <si>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</si>
  <si>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</si>
  <si>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</si>
  <si>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</si>
  <si>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</si>
  <si>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</si>
  <si>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</si>
  <si>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</si>
  <si>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</si>
  <si>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</si>
  <si>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</si>
  <si>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</si>
  <si>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</si>
  <si>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</si>
  <si>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</si>
  <si>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</si>
  <si>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</si>
  <si>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</si>
  <si>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</si>
  <si>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</si>
  <si>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</si>
  <si>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</si>
  <si>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</si>
  <si>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</si>
  <si>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</si>
  <si>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</si>
  <si>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</si>
  <si>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</si>
  <si>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</si>
  <si>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</si>
  <si>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</si>
  <si>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</si>
  <si>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</si>
  <si>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</si>
  <si>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</si>
  <si>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</si>
  <si>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</si>
  <si>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</si>
  <si>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</si>
  <si>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</si>
  <si>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</si>
  <si>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</si>
  <si>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</si>
  <si>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</si>
  <si>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</si>
  <si>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</si>
  <si>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</si>
  <si>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</si>
  <si>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</si>
  <si>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</si>
  <si>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</si>
  <si>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</si>
  <si>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</si>
  <si>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</si>
  <si>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</si>
  <si>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</si>
  <si>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</si>
  <si>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</si>
  <si>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</si>
  <si>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</si>
  <si>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</si>
  <si>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</si>
  <si>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</si>
  <si>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</si>
  <si>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</si>
  <si>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</si>
  <si>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</si>
  <si>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</si>
  <si>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</si>
  <si>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</si>
  <si>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</si>
  <si>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</si>
  <si>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</si>
  <si>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</si>
  <si>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</si>
  <si>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</si>
  <si>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</si>
  <si>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</si>
  <si>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</si>
  <si>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</si>
  <si>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</si>
  <si>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</si>
  <si>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</si>
  <si>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</si>
  <si>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</si>
  <si>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</si>
  <si>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</si>
  <si>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</si>
  <si>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</si>
  <si>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</si>
  <si>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</si>
  <si>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</si>
  <si>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</si>
  <si>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</si>
  <si>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</si>
  <si>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</si>
  <si>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</si>
  <si>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</si>
  <si>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</si>
  <si>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</si>
  <si>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</si>
  <si>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</si>
  <si>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</si>
  <si>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</si>
  <si>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</si>
  <si>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</si>
  <si>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</si>
  <si>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</si>
  <si>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</si>
  <si>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</si>
  <si>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</si>
  <si>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</si>
  <si>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</si>
  <si>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</si>
  <si>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</si>
  <si>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</si>
  <si>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</si>
  <si>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</si>
  <si>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</si>
  <si>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</si>
  <si>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</si>
  <si>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</si>
  <si>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</si>
  <si>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</si>
  <si>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</si>
  <si>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</si>
  <si>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</si>
  <si>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</si>
  <si>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</si>
  <si>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</si>
  <si>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</si>
  <si>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</si>
  <si>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</si>
  <si>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</si>
  <si>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</si>
  <si>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</si>
  <si>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</si>
  <si>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</si>
  <si>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</si>
  <si>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</si>
  <si>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</si>
  <si>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</si>
  <si>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</si>
  <si>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</si>
  <si>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</si>
  <si>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</si>
  <si>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</si>
  <si>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</si>
  <si>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</si>
  <si>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</si>
  <si>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</si>
  <si>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</si>
  <si>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</si>
  <si>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</si>
  <si>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</si>
  <si>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</si>
  <si>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</si>
  <si>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</si>
  <si>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</si>
  <si>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</si>
  <si>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</si>
  <si>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</si>
  <si>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</si>
  <si>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</si>
  <si>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</si>
  <si>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</si>
  <si>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</si>
  <si>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</si>
  <si>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</si>
  <si>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</si>
  <si>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</si>
  <si>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</si>
  <si>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</si>
  <si>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</si>
  <si>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</si>
  <si>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</si>
  <si>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</si>
  <si>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</si>
  <si>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</si>
  <si>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</si>
  <si>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</si>
  <si>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</si>
  <si>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</si>
  <si>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</si>
  <si>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</si>
  <si>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</si>
  <si>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</si>
  <si>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</si>
  <si>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</si>
  <si>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</si>
  <si>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</si>
  <si>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</si>
  <si>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</si>
  <si>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</si>
  <si>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</si>
  <si>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</si>
  <si>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</si>
  <si>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</si>
  <si>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</si>
  <si>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</si>
  <si>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</si>
  <si>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</si>
  <si>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</si>
  <si>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</si>
  <si>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</si>
  <si>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</si>
  <si>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</si>
  <si>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</si>
  <si>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</si>
  <si>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</si>
  <si>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</si>
  <si>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</si>
  <si>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</si>
  <si>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</si>
  <si>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</si>
  <si>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</si>
  <si>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</si>
  <si>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</si>
  <si>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</si>
  <si>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</si>
  <si>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</si>
  <si>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</si>
  <si>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</si>
  <si>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</si>
  <si>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</si>
  <si>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</si>
  <si>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</si>
  <si>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</si>
  <si>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</si>
  <si>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</si>
  <si>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</si>
  <si>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</si>
  <si>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</si>
  <si>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</si>
  <si>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</si>
  <si>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</si>
  <si>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</si>
  <si>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</si>
  <si>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</si>
  <si>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</si>
  <si>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</si>
  <si>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</si>
  <si>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</si>
  <si>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</si>
  <si>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</si>
  <si>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</si>
  <si>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</si>
  <si>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</si>
  <si>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</si>
  <si>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</si>
  <si>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</si>
  <si>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</si>
  <si>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</si>
  <si>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</si>
  <si>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</si>
  <si>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</si>
  <si>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</si>
  <si>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</si>
  <si>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</si>
  <si>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</si>
  <si>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</si>
  <si>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</si>
  <si>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</si>
  <si>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</si>
  <si>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</si>
  <si>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</si>
  <si>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</si>
  <si>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</si>
  <si>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</si>
  <si>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</si>
  <si>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</si>
  <si>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</si>
  <si>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</si>
  <si>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</si>
  <si>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</si>
  <si>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</si>
  <si>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</si>
  <si>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</si>
  <si>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</si>
  <si>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</si>
  <si>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</si>
  <si>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</si>
  <si>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</si>
  <si>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</si>
  <si>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</si>
  <si>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</si>
  <si>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</si>
  <si>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</si>
  <si>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</si>
  <si>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</si>
  <si>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</si>
  <si>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</si>
  <si>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</si>
  <si>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</si>
  <si>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</si>
  <si>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</si>
  <si>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</si>
  <si>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</si>
  <si>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</si>
  <si>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</si>
  <si>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</si>
  <si>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</si>
  <si>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</si>
  <si>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</si>
  <si>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</si>
  <si>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</si>
  <si>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</si>
  <si>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</si>
  <si>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</si>
  <si>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</si>
  <si>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</si>
  <si>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</si>
  <si>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</si>
  <si>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</si>
  <si>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</si>
  <si>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</si>
  <si>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</si>
  <si>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</si>
  <si>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</si>
  <si>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</si>
  <si>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</si>
  <si>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</si>
  <si>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</si>
  <si>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</si>
  <si>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</si>
  <si>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</si>
  <si>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</si>
  <si>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</si>
  <si>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</si>
  <si>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</si>
  <si>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</si>
  <si>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</si>
  <si>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</si>
  <si>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</si>
  <si>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</si>
  <si>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</si>
  <si>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</si>
  <si>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</si>
  <si>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</si>
  <si>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</si>
  <si>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</si>
  <si>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</si>
  <si>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</si>
  <si>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</si>
  <si>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</si>
  <si>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</si>
  <si>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</si>
  <si>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</si>
  <si>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</si>
  <si>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</si>
  <si>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</si>
  <si>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</si>
  <si>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</si>
  <si>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</si>
  <si>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</si>
  <si>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</si>
  <si>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</si>
  <si>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</si>
  <si>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</si>
  <si>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</si>
  <si>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</si>
  <si>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</si>
  <si>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</si>
  <si>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</si>
  <si>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</si>
  <si>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</si>
  <si>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</si>
  <si>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</si>
  <si>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</si>
  <si>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</si>
  <si>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</si>
  <si>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</si>
  <si>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</si>
  <si>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</si>
  <si>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</si>
  <si>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</si>
  <si>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</si>
  <si>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</si>
  <si>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</si>
  <si>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</si>
  <si>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</si>
  <si>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</si>
  <si>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</si>
  <si>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</si>
  <si>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</si>
  <si>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</si>
  <si>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</si>
  <si>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</si>
  <si>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</si>
  <si>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</si>
  <si>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</si>
  <si>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</si>
  <si>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</si>
  <si>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</si>
  <si>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</si>
  <si>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</si>
  <si>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</si>
  <si>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</si>
  <si>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</si>
  <si>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</si>
  <si>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</si>
  <si>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</si>
  <si>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</si>
  <si>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</si>
  <si>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</si>
  <si>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</si>
  <si>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</si>
  <si>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</si>
  <si>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</si>
  <si>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</si>
  <si>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</si>
  <si>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</si>
  <si>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</si>
  <si>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</si>
  <si>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</si>
  <si>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</si>
  <si>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</si>
  <si>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</si>
  <si>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</si>
  <si>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</si>
  <si>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</si>
  <si>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</si>
  <si>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</si>
  <si>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</si>
  <si>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</si>
  <si>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</si>
  <si>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</si>
  <si>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</si>
  <si>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</si>
  <si>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</si>
  <si>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</si>
  <si>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</si>
  <si>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</si>
  <si>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</si>
  <si>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</si>
  <si>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</si>
  <si>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</si>
  <si>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</si>
  <si>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</si>
  <si>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</si>
  <si>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</si>
  <si>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</si>
  <si>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</si>
  <si>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</si>
  <si>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</si>
  <si>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</si>
  <si>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</si>
  <si>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</si>
  <si>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</si>
  <si>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</si>
  <si>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</si>
  <si>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</si>
  <si>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</si>
  <si>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</si>
  <si>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</si>
  <si>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</si>
  <si>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</si>
  <si>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</si>
  <si>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</si>
  <si>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</si>
  <si>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</si>
  <si>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</si>
  <si>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</si>
  <si>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</si>
  <si>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</si>
  <si>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</si>
  <si>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</si>
  <si>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</si>
  <si>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</si>
  <si>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</si>
  <si>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</si>
  <si>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</si>
  <si>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</si>
  <si>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</si>
  <si>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</si>
  <si>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</si>
  <si>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</si>
  <si>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</si>
  <si>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</si>
  <si>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</si>
  <si>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</si>
  <si>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</si>
  <si>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</si>
  <si>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</si>
  <si>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</si>
  <si>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</si>
  <si>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</si>
  <si>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</si>
  <si>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</si>
  <si>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</si>
  <si>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</si>
  <si>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</si>
  <si>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</si>
  <si>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</si>
  <si>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</si>
  <si>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</si>
  <si>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</si>
  <si>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</si>
  <si>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</si>
  <si>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</si>
  <si>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</si>
  <si>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</si>
  <si>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</si>
  <si>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</si>
  <si>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</si>
  <si>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</si>
  <si>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</si>
  <si>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</si>
  <si>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</si>
  <si>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</si>
  <si>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</si>
  <si>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</si>
  <si>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</si>
  <si>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</si>
  <si>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</si>
  <si>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</si>
  <si>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</si>
  <si>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</si>
  <si>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</si>
  <si>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</si>
  <si>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</si>
  <si>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</si>
  <si>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</si>
  <si>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</si>
  <si>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</si>
  <si>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</si>
  <si>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</si>
  <si>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</si>
  <si>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</si>
  <si>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</si>
  <si>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</si>
  <si>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</si>
  <si>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</si>
  <si>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</si>
  <si>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</si>
  <si>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</si>
  <si>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</si>
  <si>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</si>
  <si>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</si>
  <si>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</si>
  <si>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</si>
  <si>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</si>
  <si>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</si>
  <si>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</si>
  <si>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</si>
  <si>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</si>
  <si>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</si>
  <si>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</si>
  <si>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</si>
  <si>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</si>
  <si>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</si>
  <si>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</si>
  <si>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</si>
  <si>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</si>
  <si>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</si>
  <si>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</si>
  <si>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</si>
  <si>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</si>
  <si>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</si>
  <si>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</si>
  <si>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</si>
  <si>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</si>
  <si>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</si>
  <si>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</si>
  <si>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</si>
  <si>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</si>
  <si>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</si>
  <si>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</si>
  <si>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</si>
  <si>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</si>
  <si>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</si>
  <si>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</si>
  <si>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</si>
  <si>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</si>
  <si>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</si>
  <si>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</si>
  <si>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</si>
  <si>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</si>
  <si>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</si>
  <si>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</si>
  <si>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</si>
  <si>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</si>
  <si>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</si>
  <si>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</si>
  <si>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</si>
  <si>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</si>
  <si>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</si>
  <si>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</si>
  <si>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</si>
  <si>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</si>
  <si>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</si>
  <si>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</si>
  <si>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</si>
  <si>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</si>
  <si>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</si>
  <si>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</si>
  <si>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</si>
  <si>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</si>
  <si>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</si>
  <si>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</si>
  <si>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</si>
  <si>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</si>
  <si>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</si>
  <si>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</si>
  <si>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</si>
  <si>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</si>
  <si>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</si>
  <si>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</si>
  <si>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</si>
  <si>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</si>
  <si>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</si>
  <si>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</si>
  <si>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</si>
  <si>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</si>
  <si>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</si>
  <si>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</si>
  <si>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</si>
  <si>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</si>
  <si>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</si>
  <si>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</si>
  <si>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</si>
  <si>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</si>
  <si>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</si>
  <si>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</si>
  <si>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</si>
  <si>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</si>
  <si>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</si>
  <si>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</si>
  <si>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</si>
  <si>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</si>
  <si>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</si>
  <si>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</si>
  <si>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</si>
  <si>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</si>
  <si>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</si>
  <si>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</si>
  <si>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</si>
  <si>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</si>
  <si>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</si>
  <si>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</si>
  <si>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</si>
  <si>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</si>
  <si>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</si>
  <si>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</si>
  <si>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</si>
  <si>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</si>
  <si>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</si>
  <si>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</si>
  <si>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</si>
  <si>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</si>
  <si>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</si>
  <si>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</si>
  <si>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</si>
  <si>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</si>
  <si>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</si>
  <si>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</si>
  <si>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</si>
  <si>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</si>
  <si>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</si>
  <si>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</si>
  <si>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</si>
  <si>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</si>
  <si>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</si>
  <si>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</si>
  <si>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</si>
  <si>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</si>
  <si>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</si>
  <si>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</si>
  <si>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</si>
  <si>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</si>
  <si>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</si>
  <si>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</si>
  <si>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</si>
  <si>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</si>
  <si>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</si>
  <si>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</si>
  <si>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</si>
  <si>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</si>
  <si>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</si>
  <si>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</si>
  <si>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</si>
  <si>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</si>
  <si>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</si>
  <si>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</si>
  <si>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</si>
  <si>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</si>
  <si>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</si>
  <si>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</si>
  <si>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</si>
  <si>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</si>
  <si>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</si>
  <si>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</si>
  <si>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</si>
  <si>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</si>
  <si>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</si>
  <si>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</si>
  <si>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</si>
  <si>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</si>
  <si>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</si>
  <si>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</si>
  <si>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</si>
  <si>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</si>
  <si>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</si>
  <si>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</si>
  <si>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</si>
  <si>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</si>
  <si>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</si>
  <si>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</si>
  <si>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</si>
  <si>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</si>
  <si>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</si>
  <si>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</si>
  <si>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</si>
  <si>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</si>
  <si>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</si>
  <si>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</si>
  <si>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</si>
  <si>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</si>
  <si>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</si>
  <si>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</si>
  <si>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</si>
  <si>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</si>
  <si>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</si>
  <si>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</si>
  <si>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</si>
  <si>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</si>
  <si>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</si>
  <si>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</si>
  <si>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</si>
  <si>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</si>
  <si>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</si>
  <si>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</si>
  <si>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</si>
  <si>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</si>
  <si>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</si>
  <si>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</si>
  <si>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</si>
  <si>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</si>
  <si>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</si>
  <si>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</si>
  <si>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</si>
  <si>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</si>
  <si>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</si>
  <si>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</si>
  <si>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</si>
  <si>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</si>
  <si>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</si>
  <si>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</si>
  <si>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</si>
  <si>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</si>
  <si>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</si>
  <si>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</si>
  <si>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</si>
  <si>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</si>
  <si>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</si>
  <si>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</si>
  <si>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</si>
  <si>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</si>
  <si>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</si>
  <si>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</si>
  <si>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</si>
  <si>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</si>
  <si>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</si>
  <si>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</si>
  <si>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</si>
  <si>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</si>
  <si>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</si>
  <si>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</si>
  <si>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</si>
  <si>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</si>
  <si>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</si>
  <si>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</si>
  <si>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</si>
  <si>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</si>
  <si>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</si>
  <si>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</si>
  <si>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</si>
  <si>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</si>
  <si>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</si>
  <si>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</si>
  <si>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</si>
  <si>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</si>
  <si>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</si>
  <si>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</si>
  <si>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</si>
  <si>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</si>
  <si>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</si>
  <si>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</si>
  <si>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</si>
  <si>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</si>
  <si>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</si>
  <si>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</si>
  <si>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</si>
  <si>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</si>
  <si>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</si>
  <si>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</si>
  <si>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</si>
  <si>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</si>
  <si>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</si>
  <si>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</si>
  <si>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</si>
  <si>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</si>
  <si>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</si>
  <si>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</si>
  <si>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</si>
  <si>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</si>
  <si>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</si>
  <si>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</si>
  <si>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</si>
  <si>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</si>
  <si>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</si>
  <si>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</si>
  <si>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</si>
  <si>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</si>
  <si>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</si>
  <si>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</si>
  <si>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</si>
  <si>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</si>
  <si>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</si>
  <si>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</si>
  <si>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</si>
  <si>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</si>
  <si>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</si>
  <si>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</si>
  <si>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</si>
  <si>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</si>
  <si>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</si>
  <si>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</si>
  <si>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</si>
  <si>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</si>
  <si>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</si>
  <si>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</si>
  <si>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</si>
  <si>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</si>
  <si>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</si>
  <si>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</si>
  <si>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</si>
  <si>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</si>
  <si>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</si>
  <si>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</si>
  <si>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</si>
  <si>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</si>
  <si>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</si>
  <si>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</si>
  <si>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</si>
  <si>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</si>
  <si>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</si>
  <si>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</si>
  <si>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</si>
  <si>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</si>
  <si>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</si>
  <si>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</si>
  <si>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</si>
  <si>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</si>
  <si>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</si>
  <si>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</si>
  <si>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</si>
  <si>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</si>
  <si>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</si>
  <si>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</si>
  <si>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</si>
  <si>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</si>
  <si>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</si>
  <si>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</si>
  <si>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</si>
  <si>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</si>
  <si>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</si>
  <si>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</si>
  <si>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</si>
  <si>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</si>
  <si>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</si>
  <si>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</si>
  <si>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</si>
  <si>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</si>
  <si>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</si>
  <si>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</si>
  <si>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</si>
  <si>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</si>
  <si>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</si>
  <si>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</si>
  <si>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</si>
  <si>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</si>
  <si>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</si>
  <si>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</si>
  <si>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</si>
  <si>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</si>
  <si>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</si>
  <si>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</si>
  <si>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</si>
  <si>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</si>
  <si>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</si>
  <si>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</si>
  <si>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</si>
  <si>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</si>
  <si>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</si>
  <si>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</si>
  <si>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</si>
  <si>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</si>
  <si>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</si>
  <si>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</si>
  <si>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</si>
  <si>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</si>
  <si>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</si>
  <si>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</si>
  <si>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</si>
  <si>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</si>
  <si>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</si>
  <si>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</si>
  <si>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</si>
  <si>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</si>
  <si>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</si>
  <si>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</si>
  <si>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</si>
  <si>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</si>
  <si>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</si>
  <si>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</si>
  <si>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</si>
  <si>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</si>
  <si>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</si>
  <si>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</si>
  <si>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</si>
  <si>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</si>
  <si>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</si>
  <si>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</si>
  <si>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</si>
  <si>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</si>
  <si>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</si>
  <si>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</si>
  <si>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</si>
  <si>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</si>
  <si>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</si>
  <si>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</si>
  <si>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</si>
  <si>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</si>
  <si>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</si>
  <si>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</si>
  <si>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</si>
  <si>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</si>
  <si>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</si>
  <si>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</si>
  <si>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</si>
  <si>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</si>
  <si>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</si>
  <si>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</si>
  <si>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</si>
  <si>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</si>
  <si>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</si>
  <si>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</si>
  <si>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</si>
  <si>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</si>
  <si>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</si>
  <si>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</si>
  <si>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</si>
  <si>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</si>
  <si>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</si>
  <si>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</si>
  <si>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</si>
  <si>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</si>
  <si>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</si>
  <si>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</si>
  <si>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</si>
  <si>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</si>
  <si>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</si>
  <si>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</si>
  <si>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</si>
  <si>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</si>
  <si>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</si>
  <si>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</si>
  <si>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</si>
  <si>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</si>
  <si>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</si>
  <si>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</si>
  <si>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</si>
  <si>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</si>
  <si>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</si>
  <si>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</si>
  <si>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</si>
  <si>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</si>
  <si>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</si>
  <si>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</si>
  <si>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</si>
  <si>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</si>
  <si>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</si>
  <si>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</si>
  <si>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</si>
  <si>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</si>
  <si>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</si>
  <si>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</si>
  <si>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</si>
  <si>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</si>
  <si>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</si>
  <si>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</si>
  <si>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</si>
  <si>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</si>
  <si>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</si>
  <si>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</si>
  <si>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</si>
  <si>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</si>
  <si>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</si>
  <si>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</si>
  <si>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</si>
  <si>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</si>
  <si>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</si>
  <si>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</si>
  <si>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</si>
  <si>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</si>
  <si>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</si>
  <si>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</si>
  <si>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</si>
  <si>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</si>
  <si>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</si>
  <si>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</si>
  <si>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</si>
  <si>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</si>
  <si>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</si>
  <si>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</si>
  <si>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</si>
  <si>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</si>
  <si>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</si>
  <si>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</si>
  <si>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</si>
  <si>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</si>
  <si>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</si>
  <si>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</si>
  <si>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</si>
  <si>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</si>
  <si>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</si>
  <si>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</si>
  <si>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</si>
  <si>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</si>
  <si>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</si>
  <si>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</si>
  <si>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</si>
  <si>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</si>
  <si>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</si>
  <si>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</si>
  <si>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</si>
  <si>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</si>
  <si>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</si>
  <si>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</si>
  <si>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</si>
  <si>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</si>
  <si>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</si>
  <si>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</si>
  <si>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</si>
  <si>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</si>
  <si>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</si>
  <si>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</si>
  <si>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</si>
  <si>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</si>
  <si>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</si>
  <si>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</si>
  <si>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</si>
  <si>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</si>
  <si>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</si>
  <si>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</si>
  <si>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</si>
  <si>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</si>
  <si>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</si>
  <si>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</si>
  <si>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</si>
  <si>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</si>
  <si>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</si>
  <si>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</si>
  <si>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</si>
  <si>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</si>
  <si>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</si>
  <si>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</si>
  <si>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</si>
  <si>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</si>
  <si>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</si>
  <si>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</si>
  <si>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</si>
  <si>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</si>
  <si>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</si>
  <si>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</si>
  <si>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</si>
  <si>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</si>
  <si>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</si>
  <si>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</si>
  <si>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</si>
  <si>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</si>
  <si>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</si>
  <si>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</si>
  <si>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</si>
  <si>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</si>
  <si>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</si>
  <si>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</si>
  <si>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</si>
  <si>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</si>
  <si>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</si>
  <si>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</si>
  <si>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</si>
  <si>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</si>
  <si>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</si>
  <si>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</si>
  <si>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</si>
  <si>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</si>
  <si>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</si>
  <si>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</si>
  <si>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</si>
  <si>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</si>
  <si>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</si>
  <si>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</si>
  <si>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</si>
  <si>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</si>
  <si>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</si>
  <si>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</si>
  <si>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</si>
  <si>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</si>
  <si>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</si>
  <si>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</si>
  <si>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</si>
  <si>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</si>
  <si>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</si>
  <si>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</si>
  <si>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</si>
  <si>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</si>
  <si>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</si>
  <si>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</si>
  <si>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</si>
  <si>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</si>
  <si>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</si>
  <si>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</si>
  <si>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</si>
  <si>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</si>
  <si>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</si>
  <si>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</si>
  <si>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</si>
  <si>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</si>
  <si>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</si>
  <si>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</si>
  <si>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</si>
  <si>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</si>
  <si>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</si>
  <si>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</si>
  <si>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</si>
  <si>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</si>
  <si>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</si>
  <si>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</si>
  <si>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</si>
  <si>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</si>
  <si>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</si>
  <si>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</si>
  <si>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</si>
  <si>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</si>
  <si>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</si>
  <si>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</si>
  <si>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</si>
  <si>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</si>
  <si>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</si>
  <si>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</si>
  <si>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</si>
  <si>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</si>
  <si>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</si>
  <si>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</si>
  <si>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</si>
  <si>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</si>
  <si>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</si>
  <si>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</si>
  <si>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</si>
  <si>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</si>
  <si>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</si>
  <si>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</si>
  <si>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</si>
  <si>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</si>
  <si>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</si>
  <si>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</si>
  <si>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</si>
  <si>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</si>
  <si>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</si>
  <si>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</si>
  <si>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</si>
  <si>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</si>
  <si>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</si>
  <si>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</si>
  <si>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</si>
  <si>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</si>
  <si>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</si>
  <si>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</si>
  <si>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</si>
  <si>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</si>
  <si>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</si>
  <si>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</si>
  <si>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</si>
  <si>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</si>
  <si>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</si>
  <si>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</si>
  <si>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</si>
  <si>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</si>
  <si>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</si>
  <si>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</si>
  <si>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</si>
  <si>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</si>
  <si>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</si>
  <si>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</si>
  <si>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</si>
  <si>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kWh/a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</si>
  <si>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</si>
  <si>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</si>
  <si>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</si>
  <si>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</si>
  <si>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</si>
  <si>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</si>
  <si>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</si>
  <si>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</si>
  <si>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</si>
  <si>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</si>
  <si>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</si>
  <si>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</si>
  <si>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</si>
  <si>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</si>
  <si>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</si>
  <si>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</si>
  <si>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</si>
  <si>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</si>
  <si>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</si>
  <si>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</si>
  <si>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</si>
  <si>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</si>
  <si>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</si>
  <si>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</si>
  <si>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</si>
  <si>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</si>
  <si>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</si>
  <si>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</si>
  <si>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</si>
  <si>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</si>
  <si>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</si>
  <si>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Heures à pleine charge</t>
  </si>
  <si>
    <t>Ore a pieno carico</t>
  </si>
  <si>
    <t>Posizione</t>
  </si>
  <si>
    <t>Lingua</t>
  </si>
  <si>
    <t>Luogo</t>
  </si>
  <si>
    <t>Indirizzo</t>
  </si>
  <si>
    <t>no</t>
  </si>
  <si>
    <t>Nome</t>
  </si>
  <si>
    <t>CAP</t>
  </si>
  <si>
    <t>Fabbisogno di electtricità</t>
  </si>
  <si>
    <t>Risparmio</t>
  </si>
  <si>
    <t>Azienda</t>
  </si>
  <si>
    <t>Testweg 4</t>
  </si>
  <si>
    <t>Volllast-stunden</t>
  </si>
  <si>
    <t>Totale</t>
  </si>
  <si>
    <t>Campo di ingresso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</si>
  <si>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</si>
  <si>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</si>
  <si>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</si>
  <si>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</si>
  <si>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</si>
  <si>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</si>
  <si>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</si>
  <si>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Campo di ingresso (scelta multipla)</t>
  </si>
  <si>
    <t>Eingabefeld (Mehrfachauswahl)</t>
  </si>
  <si>
    <t>Beispielwerke AG</t>
  </si>
  <si>
    <t>kW</t>
  </si>
  <si>
    <t xml:space="preserve">Identification du modèle </t>
  </si>
  <si>
    <t xml:space="preserve">Identificazione del modello </t>
  </si>
  <si>
    <t>Marque/fabricant</t>
  </si>
  <si>
    <t>Marchio/produttore</t>
  </si>
  <si>
    <t>Alte Anlage</t>
  </si>
  <si>
    <t>Neue Anlage</t>
  </si>
  <si>
    <t>Ancienne installation</t>
  </si>
  <si>
    <t>Nouvelle installation</t>
  </si>
  <si>
    <t>Vecchio impianto</t>
  </si>
  <si>
    <t>Nuovo impianto</t>
  </si>
  <si>
    <t>Phyd</t>
  </si>
  <si>
    <t>ns</t>
  </si>
  <si>
    <t>Eff3</t>
  </si>
  <si>
    <t>1999 – 2008</t>
  </si>
  <si>
    <t>IE1</t>
  </si>
  <si>
    <t>2008 – 2012</t>
  </si>
  <si>
    <t>IE2</t>
  </si>
  <si>
    <t>2012 – 2016</t>
  </si>
  <si>
    <t>IE3</t>
  </si>
  <si>
    <t>≥ 2016</t>
  </si>
  <si>
    <t>IE4</t>
  </si>
  <si>
    <t>&lt; 1999</t>
  </si>
  <si>
    <t>row</t>
  </si>
  <si>
    <t xml:space="preserve">ESOB, 1'450 </t>
  </si>
  <si>
    <t xml:space="preserve">ESOB, 2'900 </t>
  </si>
  <si>
    <t xml:space="preserve">ESCC, 1'450 </t>
  </si>
  <si>
    <t xml:space="preserve">ESCC, 2'900 </t>
  </si>
  <si>
    <t xml:space="preserve">ESCCi, 1'450 </t>
  </si>
  <si>
    <t xml:space="preserve">ESCCi, 2'900 </t>
  </si>
  <si>
    <t xml:space="preserve">MS-V, 2'900 </t>
  </si>
  <si>
    <t xml:space="preserve">MSS, 2'900 </t>
  </si>
  <si>
    <t>MEI = 0.4</t>
  </si>
  <si>
    <t>MEI = 0.7</t>
  </si>
  <si>
    <t>Pumpentyp</t>
  </si>
  <si>
    <t>Type de pompe</t>
  </si>
  <si>
    <t>Tipo di pompa</t>
  </si>
  <si>
    <r>
      <t>m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>/h</t>
    </r>
  </si>
  <si>
    <t>m</t>
  </si>
  <si>
    <t>h/a</t>
  </si>
  <si>
    <t>Betriebs-stunden</t>
  </si>
  <si>
    <t>Heures de fonctionnement</t>
  </si>
  <si>
    <t>Moteur</t>
  </si>
  <si>
    <t>ALT</t>
  </si>
  <si>
    <t>min-1</t>
  </si>
  <si>
    <t>eta</t>
  </si>
  <si>
    <t>NEW</t>
  </si>
  <si>
    <t xml:space="preserve">MS-V, 1'450 </t>
  </si>
  <si>
    <t>load</t>
  </si>
  <si>
    <t>Pel</t>
  </si>
  <si>
    <t>Puissance électrique absorbée (moy.)</t>
  </si>
  <si>
    <t>Potenza elettrica fornita (med.)</t>
  </si>
  <si>
    <t>1999 - 2008</t>
  </si>
  <si>
    <t>ID</t>
  </si>
  <si>
    <t>A</t>
  </si>
  <si>
    <t>B</t>
  </si>
  <si>
    <t>C</t>
  </si>
  <si>
    <t>col</t>
  </si>
  <si>
    <t>&gt; 2008</t>
  </si>
  <si>
    <t>Energiebedarf</t>
  </si>
  <si>
    <t>Elektrische Leistungs-aufnahme (durch.)</t>
  </si>
  <si>
    <t>speed</t>
  </si>
  <si>
    <t>eta nom</t>
  </si>
  <si>
    <t>Nouveau régime</t>
  </si>
  <si>
    <t>Régime actuel</t>
  </si>
  <si>
    <t>n (mot)</t>
  </si>
  <si>
    <t>n (pump)</t>
  </si>
  <si>
    <t>DU</t>
  </si>
  <si>
    <t>base</t>
  </si>
  <si>
    <t>TEST</t>
  </si>
  <si>
    <t>FU ABC</t>
  </si>
  <si>
    <t>Pmec</t>
  </si>
  <si>
    <t>Analyse</t>
  </si>
  <si>
    <t>Modellkennzeichnung</t>
  </si>
  <si>
    <t>Marke/Hersteller</t>
  </si>
  <si>
    <t>Nennleistung</t>
  </si>
  <si>
    <t>Puissance nominale</t>
  </si>
  <si>
    <t>Potenza nominale</t>
  </si>
  <si>
    <t>Nenn-durchfluss</t>
  </si>
  <si>
    <t>ΔH bei Nenn-durchfluss</t>
  </si>
  <si>
    <t>Durchfluss im Betrieb</t>
  </si>
  <si>
    <t>ΔH beim Durchfluss im Betrieb</t>
  </si>
  <si>
    <t>Débit nominal</t>
  </si>
  <si>
    <t>Débit effectif</t>
  </si>
  <si>
    <t>ΔH au débit nominal</t>
  </si>
  <si>
    <t>ΔH au débit effectif</t>
  </si>
  <si>
    <t>UID</t>
  </si>
  <si>
    <t>Pumpen = blau / Motor = orange / FU = grün</t>
  </si>
  <si>
    <t>Pompes = bleu / Moteur = orange / Variateur = vert</t>
  </si>
  <si>
    <t>Version/Versione 1.0</t>
  </si>
  <si>
    <t>Analisi</t>
  </si>
  <si>
    <t>Pompe = blu / Motore = arancione / Azionamento = verde</t>
  </si>
  <si>
    <t>Orari di funzionamento</t>
  </si>
  <si>
    <t>Portata nominale</t>
  </si>
  <si>
    <t>ΔH alla portata nominale</t>
  </si>
  <si>
    <t>Portata effettiva</t>
  </si>
  <si>
    <t>ΔH alla portata effettiva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</si>
</sst>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4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vertAlign val="superscript"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i/>
      <sz val="9"/>
      <color theme="1"/>
      <name val="Arial"/>
      <family val="2"/>
    </font>
    <font>
      <b/>
      <sz val="9"/>
      <color theme="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theme="4"/>
      <name val="Arial"/>
      <family val="2"/>
    </font>
    <font>
      <sz val="10"/>
      <color theme="5"/>
      <name val="Arial"/>
      <family val="2"/>
    </font>
    <font>
      <sz val="10"/>
      <color theme="9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8" fillId="0" borderId="0" applyNumberFormat="0" applyFill="0" applyBorder="0" applyAlignment="0" applyProtection="0"/>
    <xf numFmtId="9" fontId="31" fillId="0" borderId="0" applyFont="0" applyFill="0" applyBorder="0" applyAlignment="0" applyProtection="0"/>
  </cellStyleXfs>
  <cellXfs count="130">
    <xf numFmtId="0" fontId="0" fillId="0" borderId="0" xfId="0"/>
    <xf numFmtId="0" fontId="19" fillId="0" borderId="1" xfId="0" applyFont="1" applyBorder="1" applyAlignment="1">
      <alignment vertical="center"/>
    </xf>
    <xf numFmtId="0" fontId="20" fillId="0" borderId="0" xfId="0" applyFont="1"/>
    <xf numFmtId="0" fontId="20" fillId="0" borderId="1" xfId="0" applyFont="1" applyBorder="1"/>
    <xf numFmtId="14" fontId="20" fillId="0" borderId="0" xfId="0" applyNumberFormat="1" applyFont="1"/>
    <xf numFmtId="0" fontId="21" fillId="0" borderId="0" xfId="1" applyFont="1"/>
    <xf numFmtId="0" fontId="14" fillId="3" borderId="1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left" vertical="center" indent="1"/>
      <protection locked="0"/>
    </xf>
    <xf numFmtId="0" fontId="14" fillId="2" borderId="1" xfId="0" applyFont="1" applyFill="1" applyBorder="1" applyAlignment="1" applyProtection="1">
      <alignment horizontal="left" vertical="center" indent="1"/>
      <protection hidden="1"/>
    </xf>
    <xf numFmtId="0" fontId="26" fillId="2" borderId="0" xfId="0" applyFont="1" applyFill="1" applyAlignment="1" applyProtection="1">
      <alignment horizontal="center"/>
      <protection hidden="1"/>
    </xf>
    <xf numFmtId="0" fontId="15" fillId="2" borderId="0" xfId="0" applyFont="1" applyFill="1" applyProtection="1">
      <protection hidden="1"/>
    </xf>
    <xf numFmtId="0" fontId="17" fillId="3" borderId="1" xfId="0" applyFont="1" applyFill="1" applyBorder="1" applyAlignment="1" applyProtection="1">
      <alignment horizontal="center" vertical="center"/>
      <protection hidden="1"/>
    </xf>
    <xf numFmtId="0" fontId="17" fillId="2" borderId="0" xfId="0" applyFont="1" applyFill="1" applyAlignment="1" applyProtection="1">
      <alignment horizontal="left" indent="1"/>
      <protection hidden="1"/>
    </xf>
    <xf numFmtId="0" fontId="22" fillId="2" borderId="0" xfId="0" applyFont="1" applyFill="1" applyAlignment="1" applyProtection="1">
      <alignment horizontal="left" indent="1"/>
      <protection hidden="1"/>
    </xf>
    <xf numFmtId="0" fontId="17" fillId="2" borderId="1" xfId="0" applyFont="1" applyFill="1" applyBorder="1" applyAlignment="1" applyProtection="1">
      <alignment horizontal="center" vertical="center"/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23" fillId="2" borderId="0" xfId="0" applyFont="1" applyFill="1" applyAlignment="1" applyProtection="1">
      <alignment vertical="center"/>
      <protection hidden="1"/>
    </xf>
    <xf numFmtId="0" fontId="27" fillId="2" borderId="1" xfId="0" applyFont="1" applyFill="1" applyBorder="1" applyAlignment="1" applyProtection="1">
      <alignment horizontal="center" vertical="center" wrapText="1"/>
      <protection hidden="1"/>
    </xf>
    <xf numFmtId="0" fontId="27" fillId="2" borderId="1" xfId="0" applyFont="1" applyFill="1" applyBorder="1" applyAlignment="1" applyProtection="1">
      <alignment horizontal="center" vertical="center"/>
      <protection hidden="1"/>
    </xf>
    <xf numFmtId="0" fontId="22" fillId="2" borderId="0" xfId="0" applyFont="1" applyFill="1" applyAlignment="1" applyProtection="1">
      <alignment vertical="center"/>
      <protection hidden="1"/>
    </xf>
    <xf numFmtId="0" fontId="14" fillId="2" borderId="0" xfId="0" applyFont="1" applyFill="1" applyProtection="1">
      <protection hidden="1"/>
    </xf>
    <xf numFmtId="0" fontId="12" fillId="2" borderId="0" xfId="0" applyFont="1" applyFill="1" applyProtection="1">
      <protection hidden="1"/>
    </xf>
    <xf numFmtId="0" fontId="24" fillId="2" borderId="0" xfId="0" applyFont="1" applyFill="1" applyAlignment="1" applyProtection="1">
      <alignment horizontal="center"/>
      <protection hidden="1"/>
    </xf>
    <xf numFmtId="0" fontId="12" fillId="4" borderId="1" xfId="0" applyFont="1" applyFill="1" applyBorder="1" applyAlignment="1" applyProtection="1">
      <alignment horizontal="right" vertical="center" indent="1"/>
      <protection hidden="1"/>
    </xf>
    <xf numFmtId="0" fontId="23" fillId="2" borderId="0" xfId="0" applyFont="1" applyFill="1" applyAlignment="1" applyProtection="1">
      <alignment vertical="center" wrapText="1"/>
      <protection hidden="1"/>
    </xf>
    <xf numFmtId="0" fontId="12" fillId="2" borderId="1" xfId="0" applyFont="1" applyFill="1" applyBorder="1" applyAlignment="1" applyProtection="1">
      <alignment horizontal="center" vertical="center" wrapText="1"/>
      <protection hidden="1"/>
    </xf>
    <xf numFmtId="0" fontId="25" fillId="2" borderId="2" xfId="0" applyFont="1" applyFill="1" applyBorder="1" applyAlignment="1" applyProtection="1">
      <alignment horizontal="left" vertical="center" wrapText="1" indent="1"/>
      <protection hidden="1"/>
    </xf>
    <xf numFmtId="0" fontId="25" fillId="2" borderId="2" xfId="0" applyFont="1" applyFill="1" applyBorder="1" applyAlignment="1" applyProtection="1">
      <alignment horizontal="left" vertical="center" indent="1"/>
      <protection hidden="1"/>
    </xf>
    <xf numFmtId="0" fontId="17" fillId="5" borderId="1" xfId="0" applyFont="1" applyFill="1" applyBorder="1" applyAlignment="1" applyProtection="1">
      <alignment horizontal="center" vertical="center"/>
      <protection hidden="1"/>
    </xf>
    <xf numFmtId="0" fontId="14" fillId="5" borderId="1" xfId="0" applyFont="1" applyFill="1" applyBorder="1" applyAlignment="1" applyProtection="1">
      <alignment horizontal="center" vertical="center"/>
      <protection locked="0"/>
    </xf>
    <xf numFmtId="3" fontId="11" fillId="2" borderId="1" xfId="0" applyNumberFormat="1" applyFont="1" applyFill="1" applyBorder="1" applyAlignment="1" applyProtection="1">
      <alignment horizontal="center" vertical="center"/>
      <protection hidden="1"/>
    </xf>
    <xf numFmtId="0" fontId="20" fillId="0" borderId="1" xfId="0" applyFont="1" applyBorder="1" applyAlignment="1">
      <alignment wrapText="1"/>
    </xf>
    <xf numFmtId="0" fontId="29" fillId="2" borderId="0" xfId="0" applyFont="1" applyFill="1" applyAlignment="1" applyProtection="1">
      <alignment vertical="center"/>
      <protection hidden="1"/>
    </xf>
    <xf numFmtId="164" fontId="14" fillId="3" borderId="1" xfId="0" applyNumberFormat="1" applyFont="1" applyFill="1" applyBorder="1" applyAlignment="1" applyProtection="1">
      <alignment horizontal="center" vertical="center"/>
      <protection locked="0"/>
    </xf>
    <xf numFmtId="164" fontId="11" fillId="3" borderId="1" xfId="0" applyNumberFormat="1" applyFont="1" applyFill="1" applyBorder="1" applyAlignment="1" applyProtection="1">
      <alignment horizontal="center" vertical="center"/>
      <protection locked="0"/>
    </xf>
    <xf numFmtId="14" fontId="14" fillId="3" borderId="1" xfId="0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center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9" fillId="2" borderId="0" xfId="0" applyFont="1" applyFill="1" applyProtection="1">
      <protection hidden="1"/>
    </xf>
    <xf numFmtId="165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horizontal="center"/>
      <protection hidden="1"/>
    </xf>
    <xf numFmtId="0" fontId="8" fillId="2" borderId="0" xfId="0" applyFont="1" applyFill="1" applyAlignment="1" applyProtection="1">
      <alignment horizontal="left"/>
      <protection hidden="1"/>
    </xf>
    <xf numFmtId="0" fontId="8" fillId="2" borderId="0" xfId="0" applyFont="1" applyFill="1" applyProtection="1">
      <protection hidden="1"/>
    </xf>
    <xf numFmtId="0" fontId="17" fillId="4" borderId="0" xfId="0" applyFont="1" applyFill="1" applyAlignment="1" applyProtection="1">
      <alignment horizontal="left" vertical="center"/>
      <protection hidden="1"/>
    </xf>
    <xf numFmtId="0" fontId="8" fillId="4" borderId="0" xfId="0" applyFont="1" applyFill="1" applyAlignment="1" applyProtection="1">
      <alignment horizontal="left"/>
      <protection hidden="1"/>
    </xf>
    <xf numFmtId="0" fontId="32" fillId="2" borderId="0" xfId="0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33" fillId="2" borderId="1" xfId="0" applyFont="1" applyFill="1" applyBorder="1" applyAlignment="1" applyProtection="1">
      <alignment horizontal="center" wrapText="1"/>
      <protection hidden="1"/>
    </xf>
    <xf numFmtId="3" fontId="8" fillId="4" borderId="0" xfId="0" applyNumberFormat="1" applyFont="1" applyFill="1" applyAlignment="1" applyProtection="1">
      <alignment horizontal="center"/>
      <protection hidden="1"/>
    </xf>
    <xf numFmtId="164" fontId="8" fillId="2" borderId="1" xfId="0" applyNumberFormat="1" applyFont="1" applyFill="1" applyBorder="1" applyProtection="1">
      <protection hidden="1"/>
    </xf>
    <xf numFmtId="0" fontId="8" fillId="2" borderId="1" xfId="0" applyFont="1" applyFill="1" applyBorder="1" applyProtection="1">
      <protection hidden="1"/>
    </xf>
    <xf numFmtId="164" fontId="8" fillId="2" borderId="1" xfId="0" applyNumberFormat="1" applyFont="1" applyFill="1" applyBorder="1" applyAlignment="1" applyProtection="1">
      <alignment horizontal="center"/>
      <protection hidden="1"/>
    </xf>
    <xf numFmtId="164" fontId="17" fillId="2" borderId="1" xfId="0" applyNumberFormat="1" applyFont="1" applyFill="1" applyBorder="1" applyAlignment="1" applyProtection="1">
      <alignment horizontal="center"/>
      <protection hidden="1"/>
    </xf>
    <xf numFmtId="164" fontId="17" fillId="6" borderId="1" xfId="0" applyNumberFormat="1" applyFont="1" applyFill="1" applyBorder="1" applyAlignment="1" applyProtection="1">
      <alignment horizontal="center"/>
      <protection hidden="1"/>
    </xf>
    <xf numFmtId="0" fontId="15" fillId="2" borderId="0" xfId="0" applyFont="1" applyFill="1" applyAlignment="1" applyProtection="1">
      <alignment horizontal="left"/>
      <protection hidden="1"/>
    </xf>
    <xf numFmtId="0" fontId="34" fillId="4" borderId="0" xfId="0" applyFont="1" applyFill="1" applyAlignment="1" applyProtection="1">
      <alignment horizontal="center"/>
      <protection hidden="1"/>
    </xf>
    <xf numFmtId="0" fontId="27" fillId="4" borderId="0" xfId="0" applyFont="1" applyFill="1" applyAlignment="1" applyProtection="1">
      <alignment horizontal="center"/>
      <protection hidden="1"/>
    </xf>
    <xf numFmtId="0" fontId="7" fillId="2" borderId="0" xfId="0" applyFont="1" applyFill="1" applyProtection="1">
      <protection hidden="1"/>
    </xf>
    <xf numFmtId="0" fontId="7" fillId="5" borderId="1" xfId="0" applyFont="1" applyFill="1" applyBorder="1" applyAlignment="1" applyProtection="1">
      <alignment horizontal="left" vertical="center" indent="1"/>
      <protection locked="0"/>
    </xf>
    <xf numFmtId="1" fontId="7" fillId="3" borderId="1" xfId="0" applyNumberFormat="1" applyFont="1" applyFill="1" applyBorder="1" applyAlignment="1" applyProtection="1">
      <alignment horizontal="center" vertical="center"/>
      <protection locked="0"/>
    </xf>
    <xf numFmtId="0" fontId="35" fillId="2" borderId="0" xfId="0" applyFont="1" applyFill="1" applyProtection="1">
      <protection hidden="1"/>
    </xf>
    <xf numFmtId="0" fontId="36" fillId="2" borderId="0" xfId="0" applyFont="1" applyFill="1" applyProtection="1">
      <protection hidden="1"/>
    </xf>
    <xf numFmtId="0" fontId="27" fillId="4" borderId="0" xfId="0" applyFont="1" applyFill="1" applyAlignment="1" applyProtection="1">
      <alignment horizontal="center" vertical="center"/>
      <protection hidden="1"/>
    </xf>
    <xf numFmtId="0" fontId="39" fillId="4" borderId="0" xfId="0" applyFont="1" applyFill="1" applyAlignment="1" applyProtection="1">
      <alignment horizontal="center" vertical="center"/>
      <protection hidden="1"/>
    </xf>
    <xf numFmtId="166" fontId="8" fillId="4" borderId="0" xfId="2" applyNumberFormat="1" applyFont="1" applyFill="1" applyAlignment="1" applyProtection="1">
      <alignment horizontal="center"/>
      <protection hidden="1"/>
    </xf>
    <xf numFmtId="0" fontId="6" fillId="4" borderId="0" xfId="0" applyFont="1" applyFill="1" applyAlignment="1" applyProtection="1">
      <alignment horizont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17" fillId="4" borderId="0" xfId="0" applyFont="1" applyFill="1" applyAlignment="1" applyProtection="1">
      <alignment horizontal="left" vertical="center" indent="1"/>
      <protection hidden="1"/>
    </xf>
    <xf numFmtId="1" fontId="5" fillId="3" borderId="1" xfId="0" applyNumberFormat="1" applyFont="1" applyFill="1" applyBorder="1" applyAlignment="1" applyProtection="1">
      <alignment horizontal="left" vertical="center" indent="1"/>
      <protection locked="0"/>
    </xf>
    <xf numFmtId="0" fontId="5" fillId="3" borderId="1" xfId="0" applyFont="1" applyFill="1" applyBorder="1" applyAlignment="1" applyProtection="1">
      <alignment horizontal="left" vertical="center" indent="1"/>
      <protection locked="0"/>
    </xf>
    <xf numFmtId="0" fontId="16" fillId="2" borderId="0" xfId="0" applyFont="1" applyFill="1" applyAlignment="1" applyProtection="1">
      <alignment vertical="center"/>
      <protection hidden="1"/>
    </xf>
    <xf numFmtId="0" fontId="14" fillId="2" borderId="0" xfId="0" applyFont="1" applyFill="1" applyAlignment="1" applyProtection="1">
      <alignment vertical="center"/>
      <protection hidden="1"/>
    </xf>
    <xf numFmtId="0" fontId="25" fillId="2" borderId="3" xfId="0" applyFont="1" applyFill="1" applyBorder="1" applyAlignment="1" applyProtection="1">
      <alignment horizontal="left" vertical="center" wrapText="1" indent="1"/>
      <protection hidden="1"/>
    </xf>
    <xf numFmtId="0" fontId="25" fillId="2" borderId="9" xfId="0" applyFont="1" applyFill="1" applyBorder="1" applyAlignment="1" applyProtection="1">
      <alignment horizontal="left" vertical="center" wrapText="1" indent="1"/>
      <protection hidden="1"/>
    </xf>
    <xf numFmtId="1" fontId="11" fillId="3" borderId="1" xfId="0" applyNumberFormat="1" applyFont="1" applyFill="1" applyBorder="1" applyAlignment="1" applyProtection="1">
      <alignment horizontal="center" vertical="center"/>
      <protection locked="0"/>
    </xf>
    <xf numFmtId="0" fontId="25" fillId="2" borderId="3" xfId="0" applyFont="1" applyFill="1" applyBorder="1" applyAlignment="1" applyProtection="1">
      <alignment horizontal="center" vertical="center" wrapText="1"/>
      <protection hidden="1"/>
    </xf>
    <xf numFmtId="0" fontId="15" fillId="2" borderId="0" xfId="0" applyFont="1" applyFill="1" applyAlignment="1" applyProtection="1">
      <alignment horizontal="center" vertical="center"/>
      <protection hidden="1"/>
    </xf>
    <xf numFmtId="0" fontId="12" fillId="2" borderId="0" xfId="0" applyFont="1" applyFill="1" applyAlignment="1" applyProtection="1">
      <alignment horizontal="center" vertical="center"/>
      <protection hidden="1"/>
    </xf>
    <xf numFmtId="9" fontId="8" fillId="4" borderId="0" xfId="2" applyFont="1" applyFill="1" applyAlignment="1" applyProtection="1">
      <alignment horizontal="center"/>
      <protection hidden="1"/>
    </xf>
    <xf numFmtId="1" fontId="4" fillId="3" borderId="1" xfId="0" applyNumberFormat="1" applyFont="1" applyFill="1" applyBorder="1" applyAlignment="1" applyProtection="1">
      <alignment horizontal="left" vertical="center" indent="1"/>
      <protection locked="0"/>
    </xf>
    <xf numFmtId="0" fontId="4" fillId="3" borderId="1" xfId="0" applyFont="1" applyFill="1" applyBorder="1" applyAlignment="1" applyProtection="1">
      <alignment horizontal="left" vertical="center" indent="1"/>
      <protection locked="0"/>
    </xf>
    <xf numFmtId="0" fontId="3" fillId="4" borderId="0" xfId="0" applyFont="1" applyFill="1" applyAlignment="1" applyProtection="1">
      <alignment horizontal="center"/>
      <protection hidden="1"/>
    </xf>
    <xf numFmtId="9" fontId="27" fillId="4" borderId="0" xfId="0" applyNumberFormat="1" applyFont="1" applyFill="1" applyAlignment="1" applyProtection="1">
      <alignment horizontal="center"/>
      <protection hidden="1"/>
    </xf>
    <xf numFmtId="0" fontId="40" fillId="2" borderId="1" xfId="0" applyFont="1" applyFill="1" applyBorder="1" applyAlignment="1" applyProtection="1">
      <alignment horizontal="left" vertical="center" wrapText="1" indent="1"/>
      <protection hidden="1"/>
    </xf>
    <xf numFmtId="0" fontId="41" fillId="2" borderId="1" xfId="0" applyFont="1" applyFill="1" applyBorder="1" applyAlignment="1" applyProtection="1">
      <alignment horizontal="center" vertical="center" wrapText="1"/>
      <protection hidden="1"/>
    </xf>
    <xf numFmtId="4" fontId="2" fillId="0" borderId="1" xfId="0" applyNumberFormat="1" applyFont="1" applyBorder="1" applyAlignment="1" applyProtection="1">
      <alignment horizontal="right" vertical="center" indent="1"/>
      <protection hidden="1"/>
    </xf>
    <xf numFmtId="0" fontId="42" fillId="2" borderId="1" xfId="0" applyFont="1" applyFill="1" applyBorder="1" applyAlignment="1" applyProtection="1">
      <alignment horizontal="left" vertical="center" wrapText="1" indent="1"/>
      <protection hidden="1"/>
    </xf>
    <xf numFmtId="0" fontId="40" fillId="2" borderId="1" xfId="0" applyFont="1" applyFill="1" applyBorder="1" applyAlignment="1" applyProtection="1">
      <alignment horizontal="center" vertical="center" wrapText="1"/>
      <protection hidden="1"/>
    </xf>
    <xf numFmtId="0" fontId="43" fillId="2" borderId="1" xfId="1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Protection="1">
      <protection hidden="1"/>
    </xf>
    <xf numFmtId="0" fontId="12" fillId="0" borderId="0" xfId="0" applyFont="1" applyProtection="1">
      <protection hidden="1"/>
    </xf>
    <xf numFmtId="0" fontId="22" fillId="0" borderId="7" xfId="0" applyFont="1" applyBorder="1" applyAlignment="1" applyProtection="1">
      <alignment horizontal="left" vertical="center"/>
      <protection hidden="1"/>
    </xf>
    <xf numFmtId="0" fontId="16" fillId="2" borderId="3" xfId="0" applyFont="1" applyFill="1" applyBorder="1" applyAlignment="1" applyProtection="1">
      <alignment horizontal="left" vertical="center" indent="1"/>
      <protection hidden="1"/>
    </xf>
    <xf numFmtId="0" fontId="16" fillId="4" borderId="0" xfId="0" applyFont="1" applyFill="1" applyAlignment="1" applyProtection="1">
      <alignment horizontal="left" vertical="center" indent="1"/>
      <protection hidden="1"/>
    </xf>
    <xf numFmtId="0" fontId="37" fillId="4" borderId="0" xfId="0" applyFont="1" applyFill="1" applyAlignment="1" applyProtection="1">
      <alignment horizontal="left" vertical="center" indent="1"/>
      <protection hidden="1"/>
    </xf>
    <xf numFmtId="0" fontId="16" fillId="2" borderId="0" xfId="0" applyFont="1" applyFill="1" applyAlignment="1" applyProtection="1">
      <alignment horizontal="left" indent="1"/>
      <protection hidden="1"/>
    </xf>
    <xf numFmtId="0" fontId="16" fillId="0" borderId="0" xfId="0" applyFont="1" applyProtection="1">
      <protection hidden="1"/>
    </xf>
    <xf numFmtId="0" fontId="27" fillId="4" borderId="0" xfId="0" applyFont="1" applyFill="1" applyAlignment="1" applyProtection="1">
      <alignment horizontal="center" wrapText="1"/>
      <protection hidden="1"/>
    </xf>
    <xf numFmtId="0" fontId="38" fillId="4" borderId="0" xfId="0" applyFont="1" applyFill="1" applyAlignment="1" applyProtection="1">
      <alignment horizontal="center" wrapText="1"/>
      <protection hidden="1"/>
    </xf>
    <xf numFmtId="0" fontId="23" fillId="2" borderId="0" xfId="0" applyFont="1" applyFill="1" applyAlignment="1" applyProtection="1">
      <alignment wrapText="1"/>
      <protection hidden="1"/>
    </xf>
    <xf numFmtId="0" fontId="23" fillId="0" borderId="0" xfId="0" applyFont="1" applyAlignment="1" applyProtection="1">
      <alignment vertical="center" wrapText="1"/>
      <protection hidden="1"/>
    </xf>
    <xf numFmtId="0" fontId="33" fillId="2" borderId="0" xfId="0" applyFont="1" applyFill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1" fontId="27" fillId="4" borderId="0" xfId="0" applyNumberFormat="1" applyFont="1" applyFill="1" applyAlignment="1" applyProtection="1">
      <alignment horizontal="center" vertical="center" wrapText="1"/>
      <protection hidden="1"/>
    </xf>
    <xf numFmtId="2" fontId="27" fillId="4" borderId="0" xfId="0" applyNumberFormat="1" applyFont="1" applyFill="1" applyAlignment="1" applyProtection="1">
      <alignment horizontal="center" vertical="center" wrapText="1"/>
      <protection hidden="1"/>
    </xf>
    <xf numFmtId="166" fontId="27" fillId="4" borderId="0" xfId="2" applyNumberFormat="1" applyFont="1" applyFill="1" applyAlignment="1" applyProtection="1">
      <alignment horizontal="center" vertical="center" wrapText="1"/>
      <protection hidden="1"/>
    </xf>
    <xf numFmtId="164" fontId="27" fillId="4" borderId="0" xfId="0" applyNumberFormat="1" applyFont="1" applyFill="1" applyAlignment="1" applyProtection="1">
      <alignment horizontal="center" vertical="center" wrapText="1"/>
      <protection hidden="1"/>
    </xf>
    <xf numFmtId="2" fontId="27" fillId="4" borderId="0" xfId="2" applyNumberFormat="1" applyFont="1" applyFill="1" applyAlignment="1" applyProtection="1">
      <alignment horizontal="center" vertical="center" wrapText="1"/>
      <protection hidden="1"/>
    </xf>
    <xf numFmtId="164" fontId="38" fillId="4" borderId="0" xfId="0" applyNumberFormat="1" applyFont="1" applyFill="1" applyAlignment="1" applyProtection="1">
      <alignment horizontal="center" vertical="center" wrapText="1"/>
      <protection hidden="1"/>
    </xf>
    <xf numFmtId="164" fontId="27" fillId="4" borderId="0" xfId="2" applyNumberFormat="1" applyFont="1" applyFill="1" applyAlignment="1" applyProtection="1">
      <alignment horizontal="center" vertical="center" wrapText="1"/>
      <protection hidden="1"/>
    </xf>
    <xf numFmtId="0" fontId="17" fillId="2" borderId="4" xfId="0" applyFont="1" applyFill="1" applyBorder="1" applyAlignment="1" applyProtection="1">
      <alignment vertical="center"/>
      <protection hidden="1"/>
    </xf>
    <xf numFmtId="0" fontId="17" fillId="2" borderId="7" xfId="0" applyFont="1" applyFill="1" applyBorder="1" applyAlignment="1" applyProtection="1">
      <alignment vertical="center"/>
      <protection hidden="1"/>
    </xf>
    <xf numFmtId="0" fontId="17" fillId="2" borderId="7" xfId="0" applyFont="1" applyFill="1" applyBorder="1" applyAlignment="1" applyProtection="1">
      <alignment horizontal="center" vertical="center"/>
      <protection hidden="1"/>
    </xf>
    <xf numFmtId="0" fontId="17" fillId="2" borderId="8" xfId="0" applyFont="1" applyFill="1" applyBorder="1" applyAlignment="1" applyProtection="1">
      <alignment horizontal="center" vertical="center"/>
      <protection hidden="1"/>
    </xf>
    <xf numFmtId="4" fontId="17" fillId="7" borderId="1" xfId="0" applyNumberFormat="1" applyFont="1" applyFill="1" applyBorder="1" applyAlignment="1" applyProtection="1">
      <alignment horizontal="center" vertical="center"/>
      <protection hidden="1"/>
    </xf>
    <xf numFmtId="0" fontId="15" fillId="4" borderId="0" xfId="0" applyFont="1" applyFill="1" applyAlignment="1" applyProtection="1">
      <alignment horizontal="center" vertical="center"/>
      <protection hidden="1"/>
    </xf>
    <xf numFmtId="0" fontId="35" fillId="4" borderId="0" xfId="0" applyFont="1" applyFill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center"/>
      <protection hidden="1"/>
    </xf>
    <xf numFmtId="0" fontId="10" fillId="3" borderId="1" xfId="0" applyFont="1" applyFill="1" applyBorder="1" applyAlignment="1" applyProtection="1">
      <alignment horizontal="left" vertical="center" indent="1"/>
      <protection locked="0"/>
    </xf>
    <xf numFmtId="0" fontId="11" fillId="3" borderId="1" xfId="0" applyFont="1" applyFill="1" applyBorder="1" applyAlignment="1" applyProtection="1">
      <alignment horizontal="left" vertical="center" indent="1"/>
      <protection locked="0"/>
    </xf>
    <xf numFmtId="1" fontId="14" fillId="3" borderId="1" xfId="0" applyNumberFormat="1" applyFont="1" applyFill="1" applyBorder="1" applyAlignment="1" applyProtection="1">
      <alignment horizontal="right" vertical="center"/>
      <protection locked="0"/>
    </xf>
    <xf numFmtId="0" fontId="17" fillId="5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left" vertical="center" indent="1"/>
      <protection locked="0"/>
    </xf>
    <xf numFmtId="0" fontId="13" fillId="2" borderId="2" xfId="0" applyFont="1" applyFill="1" applyBorder="1" applyAlignment="1" applyProtection="1">
      <alignment vertical="center"/>
      <protection hidden="1"/>
    </xf>
    <xf numFmtId="0" fontId="13" fillId="2" borderId="6" xfId="0" applyFont="1" applyFill="1" applyBorder="1" applyAlignment="1" applyProtection="1">
      <alignment vertical="center"/>
      <protection hidden="1"/>
    </xf>
    <xf numFmtId="0" fontId="1" fillId="2" borderId="5" xfId="0" applyFont="1" applyFill="1" applyBorder="1" applyAlignment="1" applyProtection="1">
      <alignment horizontal="center" vertical="center"/>
      <protection hidden="1"/>
    </xf>
  </cellXfs>
  <cellStyles count="3">
    <cellStyle name="Hyperlink" xfId="1" builtinId="8"/>
    <cellStyle name="Normal" xfId="0" builtinId="0"/>
    <cellStyle name="Percent" xfId="2" builtinId="5"/>
  </cellStyles>
  <dxfs count="4"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66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Y138"/>
  <sheetViews>
    <sheetView tabSelected="1" zoomScale="85" zoomScaleNormal="85" workbookViewId="0">
      <pane ySplit="11" topLeftCell="A12" activePane="bottomLeft" state="frozen"/>
      <selection pane="bottomLeft" activeCell="L111" sqref="L12:L111"/>
    </sheetView>
  </sheetViews>
  <sheetFormatPr defaultColWidth="0" defaultRowHeight="14.25" x14ac:dyDescent="0.2"/>
  <cols>
    <col min="1" max="1" width="5.7109375" style="10" customWidth="1"/>
    <col min="2" max="2" width="5.7109375" style="15" customWidth="1"/>
    <col min="3" max="4" width="25.7109375" style="10" customWidth="1"/>
    <col min="5" max="5" width="8.28515625" style="78" customWidth="1"/>
    <col min="6" max="6" width="25.7109375" style="10" customWidth="1"/>
    <col min="7" max="7" width="20.7109375" style="10" customWidth="1"/>
    <col min="8" max="9" width="13.28515625" style="10" customWidth="1"/>
    <col min="10" max="12" width="13.28515625" style="39" customWidth="1"/>
    <col min="13" max="13" width="13.28515625" style="10" customWidth="1"/>
    <col min="14" max="15" width="25.7109375" style="10" customWidth="1"/>
    <col min="16" max="17" width="13.28515625" style="10" customWidth="1"/>
    <col min="18" max="18" width="13.28515625" style="39" customWidth="1"/>
    <col min="19" max="19" width="13.28515625" style="10" customWidth="1"/>
    <col min="20" max="20" width="20.7109375" style="10" customWidth="1"/>
    <col min="21" max="21" width="25.7109375" style="10" customWidth="1"/>
    <col min="22" max="22" width="9.140625" style="10" customWidth="1"/>
    <col min="23" max="23" width="25.7109375" style="10" customWidth="1"/>
    <col min="24" max="25" width="15.7109375" style="10" customWidth="1"/>
    <col min="26" max="26" width="5.7109375" style="10" customWidth="1"/>
    <col min="27" max="33" width="6.7109375" style="118" hidden="1" customWidth="1"/>
    <col min="34" max="34" width="6.7109375" style="119" hidden="1" customWidth="1"/>
    <col min="35" max="35" width="5.7109375" style="10" hidden="1" customWidth="1"/>
    <col min="36" max="40" width="6.7109375" style="118" hidden="1" customWidth="1"/>
    <col min="41" max="41" width="5.7109375" style="10" hidden="1" customWidth="1"/>
    <col min="42" max="43" width="6.7109375" style="15" hidden="1" customWidth="1"/>
    <col min="44" max="44" width="5.7109375" style="10" hidden="1" customWidth="1"/>
    <col min="45" max="50" width="6.7109375" style="15" hidden="1" customWidth="1"/>
    <col min="51" max="51" width="6.7109375" style="56" hidden="1" customWidth="1"/>
    <col min="52" max="77" width="5.7109375" style="10" hidden="1" customWidth="1"/>
    <col min="78" max="16384" width="9.140625" style="10" hidden="1"/>
  </cols>
  <sheetData>
    <row r="1" spans="1:69" s="91" customFormat="1" x14ac:dyDescent="0.2">
      <c r="A1" s="10"/>
      <c r="B1" s="9">
        <f>IF(B2="D", 1, IF(B2="F", 2, 3))</f>
        <v>1</v>
      </c>
      <c r="C1" s="10"/>
      <c r="D1" s="10"/>
      <c r="E1" s="78"/>
      <c r="F1" s="10"/>
      <c r="G1" s="10"/>
      <c r="H1" s="10"/>
      <c r="I1" s="10"/>
      <c r="J1" s="39"/>
      <c r="K1" s="39"/>
      <c r="L1" s="39"/>
      <c r="M1" s="10"/>
      <c r="N1" s="10"/>
      <c r="O1" s="10"/>
      <c r="P1" s="10"/>
      <c r="Q1" s="10"/>
      <c r="R1" s="39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62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42"/>
      <c r="AV1" s="42"/>
      <c r="AW1" s="42"/>
      <c r="AX1" s="42"/>
      <c r="AY1" s="4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</row>
    <row r="2" spans="1:69" s="92" customFormat="1" ht="12.75" x14ac:dyDescent="0.2">
      <c r="A2" s="22"/>
      <c r="B2" s="125" t="s">
        <v>4469</v>
      </c>
      <c r="C2" s="12" t="str" cm="1">
        <f t="array" ref="C2">INDEX(Trad, 1, $B$1)</f>
        <v>Sprache</v>
      </c>
      <c r="D2" s="13" t="s">
        <v>4611</v>
      </c>
      <c r="E2" s="79"/>
      <c r="F2" s="22"/>
      <c r="G2" s="59"/>
      <c r="H2" s="23"/>
      <c r="I2" s="23"/>
      <c r="J2" s="23"/>
      <c r="K2" s="23"/>
      <c r="L2" s="23"/>
      <c r="M2" s="22"/>
      <c r="N2" s="23"/>
      <c r="O2" s="23"/>
      <c r="P2" s="23"/>
      <c r="Q2" s="23"/>
      <c r="R2" s="23"/>
      <c r="S2" s="22"/>
      <c r="T2" s="22"/>
      <c r="U2" s="22"/>
      <c r="V2" s="22"/>
      <c r="W2" s="22"/>
      <c r="X2" s="22"/>
      <c r="Y2" s="22"/>
      <c r="Z2" s="22"/>
      <c r="AA2" s="44"/>
      <c r="AB2" s="44"/>
      <c r="AC2" s="44"/>
      <c r="AD2" s="44"/>
      <c r="AE2" s="44"/>
      <c r="AF2" s="44"/>
      <c r="AG2" s="44"/>
      <c r="AH2" s="63"/>
      <c r="AI2" s="22"/>
      <c r="AJ2" s="44"/>
      <c r="AK2" s="44"/>
      <c r="AL2" s="44"/>
      <c r="AM2" s="44"/>
      <c r="AN2" s="44"/>
      <c r="AO2" s="22"/>
      <c r="AP2" s="22"/>
      <c r="AQ2" s="22"/>
      <c r="AR2" s="22"/>
      <c r="AS2" s="22"/>
      <c r="AT2" s="22"/>
      <c r="AU2" s="42"/>
      <c r="AV2" s="42"/>
      <c r="AW2" s="42"/>
      <c r="AX2" s="42"/>
      <c r="AY2" s="43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</row>
    <row r="3" spans="1:69" s="92" customFormat="1" ht="4.9000000000000004" customHeight="1" x14ac:dyDescent="0.2">
      <c r="A3" s="22"/>
      <c r="B3" s="22"/>
      <c r="C3" s="12"/>
      <c r="D3" s="12"/>
      <c r="E3" s="79"/>
      <c r="F3" s="22"/>
      <c r="G3" s="59"/>
      <c r="H3" s="23"/>
      <c r="I3" s="23"/>
      <c r="J3" s="23"/>
      <c r="K3" s="23"/>
      <c r="L3" s="23"/>
      <c r="M3" s="22"/>
      <c r="N3" s="23"/>
      <c r="O3" s="23"/>
      <c r="P3" s="23"/>
      <c r="Q3" s="23"/>
      <c r="R3" s="23"/>
      <c r="S3" s="22"/>
      <c r="T3" s="22"/>
      <c r="U3" s="22"/>
      <c r="V3" s="22"/>
      <c r="W3" s="22"/>
      <c r="X3" s="22"/>
      <c r="Y3" s="22"/>
      <c r="Z3" s="22"/>
      <c r="AA3" s="44"/>
      <c r="AB3" s="44"/>
      <c r="AC3" s="44"/>
      <c r="AD3" s="44"/>
      <c r="AE3" s="44"/>
      <c r="AF3" s="44"/>
      <c r="AG3" s="44"/>
      <c r="AH3" s="63"/>
      <c r="AI3" s="22"/>
      <c r="AJ3" s="44"/>
      <c r="AK3" s="44"/>
      <c r="AL3" s="44"/>
      <c r="AM3" s="44"/>
      <c r="AN3" s="44"/>
      <c r="AO3" s="22"/>
      <c r="AP3" s="22"/>
      <c r="AQ3" s="22"/>
      <c r="AR3" s="22"/>
      <c r="AS3" s="22"/>
      <c r="AT3" s="22"/>
      <c r="AU3" s="42"/>
      <c r="AV3" s="42"/>
      <c r="AW3" s="42"/>
      <c r="AX3" s="42"/>
      <c r="AY3" s="43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</row>
    <row r="4" spans="1:69" s="92" customFormat="1" ht="12.75" x14ac:dyDescent="0.2">
      <c r="A4" s="22"/>
      <c r="B4" s="11"/>
      <c r="C4" s="13" t="str" cm="1">
        <f t="array" ref="C4">INDEX(Trad, 7, $B$1)</f>
        <v>Eingabefeld</v>
      </c>
      <c r="D4" s="12"/>
      <c r="E4" s="79"/>
      <c r="F4" s="22"/>
      <c r="G4" s="59"/>
      <c r="H4" s="23"/>
      <c r="I4" s="23"/>
      <c r="J4" s="23"/>
      <c r="K4" s="23"/>
      <c r="L4" s="23"/>
      <c r="M4" s="22"/>
      <c r="N4" s="23"/>
      <c r="O4" s="23"/>
      <c r="P4" s="23"/>
      <c r="Q4" s="23"/>
      <c r="R4" s="23"/>
      <c r="S4" s="22"/>
      <c r="T4" s="22"/>
      <c r="U4" s="22"/>
      <c r="V4" s="22"/>
      <c r="W4" s="22"/>
      <c r="X4" s="22"/>
      <c r="Y4" s="22"/>
      <c r="Z4" s="22"/>
      <c r="AA4" s="44"/>
      <c r="AB4" s="44"/>
      <c r="AC4" s="44"/>
      <c r="AD4" s="44"/>
      <c r="AE4" s="44"/>
      <c r="AF4" s="44"/>
      <c r="AG4" s="44"/>
      <c r="AH4" s="63"/>
      <c r="AI4" s="22"/>
      <c r="AJ4" s="44"/>
      <c r="AK4" s="44"/>
      <c r="AL4" s="44"/>
      <c r="AM4" s="44"/>
      <c r="AN4" s="44"/>
      <c r="AO4" s="22"/>
      <c r="AP4" s="22"/>
      <c r="AQ4" s="22"/>
      <c r="AR4" s="22"/>
      <c r="AS4" s="22"/>
      <c r="AT4" s="22"/>
      <c r="AU4" s="42"/>
      <c r="AV4" s="42"/>
      <c r="AW4" s="42"/>
      <c r="AX4" s="42"/>
      <c r="AY4" s="43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</row>
    <row r="5" spans="1:69" s="92" customFormat="1" ht="12.75" x14ac:dyDescent="0.2">
      <c r="A5" s="22"/>
      <c r="B5" s="29"/>
      <c r="C5" s="13" t="str" cm="1">
        <f t="array" ref="C5">INDEX(Trad, 17, $B$1)</f>
        <v>Eingabefeld (Mehrfachauswahl)</v>
      </c>
      <c r="D5" s="13"/>
      <c r="E5" s="79"/>
      <c r="F5" s="22"/>
      <c r="G5" s="59"/>
      <c r="H5" s="23"/>
      <c r="I5" s="23"/>
      <c r="J5" s="23"/>
      <c r="K5" s="23"/>
      <c r="L5" s="23"/>
      <c r="M5" s="22"/>
      <c r="N5" s="23"/>
      <c r="O5" s="23"/>
      <c r="P5" s="23"/>
      <c r="Q5" s="23"/>
      <c r="R5" s="23"/>
      <c r="S5" s="22"/>
      <c r="T5" s="22"/>
      <c r="U5" s="22"/>
      <c r="V5" s="22"/>
      <c r="W5" s="22"/>
      <c r="X5" s="22"/>
      <c r="Y5" s="22"/>
      <c r="Z5" s="22"/>
      <c r="AA5" s="44"/>
      <c r="AB5" s="44"/>
      <c r="AC5" s="44"/>
      <c r="AD5" s="44"/>
      <c r="AE5" s="44"/>
      <c r="AF5" s="44"/>
      <c r="AG5" s="44"/>
      <c r="AH5" s="63"/>
      <c r="AI5" s="22"/>
      <c r="AJ5" s="44"/>
      <c r="AK5" s="44"/>
      <c r="AL5" s="44"/>
      <c r="AM5" s="44"/>
      <c r="AN5" s="44"/>
      <c r="AO5" s="22"/>
      <c r="AP5" s="22"/>
      <c r="AQ5" s="22"/>
      <c r="AR5" s="22"/>
      <c r="AS5" s="22"/>
      <c r="AT5" s="22"/>
      <c r="AU5" s="42"/>
      <c r="AV5" s="42"/>
      <c r="AW5" s="42"/>
      <c r="AX5" s="42"/>
      <c r="AY5" s="43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</row>
    <row r="6" spans="1:69" s="92" customFormat="1" ht="12.75" x14ac:dyDescent="0.2">
      <c r="A6" s="22"/>
      <c r="B6" s="14"/>
      <c r="C6" s="13" t="str" cm="1">
        <f t="array" ref="C6">INDEX(Trad, 8, $B$1)</f>
        <v>Berechnetetes Feld</v>
      </c>
      <c r="D6" s="13"/>
      <c r="E6" s="79"/>
      <c r="F6" s="22"/>
      <c r="G6" s="59"/>
      <c r="H6" s="23"/>
      <c r="I6" s="23"/>
      <c r="J6" s="23"/>
      <c r="K6" s="23"/>
      <c r="L6" s="23"/>
      <c r="M6" s="22"/>
      <c r="N6" s="23"/>
      <c r="O6" s="23"/>
      <c r="P6" s="23"/>
      <c r="Q6" s="23"/>
      <c r="R6" s="23"/>
      <c r="S6" s="22"/>
      <c r="T6" s="22"/>
      <c r="U6" s="22"/>
      <c r="V6" s="22"/>
      <c r="W6" s="22"/>
      <c r="X6" s="22"/>
      <c r="Y6" s="22"/>
      <c r="Z6" s="22"/>
      <c r="AA6" s="44"/>
      <c r="AB6" s="44"/>
      <c r="AC6" s="44"/>
      <c r="AD6" s="44"/>
      <c r="AE6" s="44"/>
      <c r="AF6" s="44"/>
      <c r="AG6" s="44"/>
      <c r="AH6" s="63"/>
      <c r="AI6" s="22"/>
      <c r="AJ6" s="44"/>
      <c r="AK6" s="44"/>
      <c r="AL6" s="44"/>
      <c r="AM6" s="44"/>
      <c r="AN6" s="44"/>
      <c r="AO6" s="22"/>
      <c r="AP6" s="22"/>
      <c r="AQ6" s="22"/>
      <c r="AR6" s="22"/>
      <c r="AS6" s="22"/>
      <c r="AT6" s="22"/>
      <c r="AU6" s="42"/>
      <c r="AV6" s="42"/>
      <c r="AW6" s="42"/>
      <c r="AX6" s="42"/>
      <c r="AY6" s="43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</row>
    <row r="7" spans="1:69" s="92" customFormat="1" ht="12.75" x14ac:dyDescent="0.2">
      <c r="A7" s="22"/>
      <c r="B7" s="24"/>
      <c r="C7" s="13" t="str" cm="1">
        <f t="array" ref="C7">INDEX(Trad, 9, $B$1)</f>
        <v>Gespertes Feld</v>
      </c>
      <c r="D7" s="13"/>
      <c r="E7" s="79"/>
      <c r="F7" s="22"/>
      <c r="G7" s="59"/>
      <c r="H7" s="23"/>
      <c r="I7" s="23"/>
      <c r="J7" s="23"/>
      <c r="K7" s="23"/>
      <c r="L7" s="23"/>
      <c r="M7" s="22"/>
      <c r="N7" s="23"/>
      <c r="O7" s="23"/>
      <c r="P7" s="23"/>
      <c r="Q7" s="23"/>
      <c r="R7" s="23"/>
      <c r="S7" s="22"/>
      <c r="T7" s="22"/>
      <c r="U7" s="22"/>
      <c r="V7" s="22"/>
      <c r="W7" s="22"/>
      <c r="X7" s="22"/>
      <c r="Y7" s="22"/>
      <c r="Z7" s="22"/>
      <c r="AA7" s="44"/>
      <c r="AB7" s="44"/>
      <c r="AC7" s="44"/>
      <c r="AD7" s="44"/>
      <c r="AE7" s="44"/>
      <c r="AF7" s="44"/>
      <c r="AG7" s="44"/>
      <c r="AH7" s="63"/>
      <c r="AI7" s="22"/>
      <c r="AJ7" s="44"/>
      <c r="AK7" s="44"/>
      <c r="AL7" s="44"/>
      <c r="AM7" s="44"/>
      <c r="AN7" s="44"/>
      <c r="AO7" s="22"/>
      <c r="AP7" s="22"/>
      <c r="AQ7" s="22"/>
      <c r="AR7" s="22"/>
      <c r="AS7" s="22"/>
      <c r="AT7" s="22"/>
      <c r="AU7" s="42"/>
      <c r="AV7" s="42"/>
      <c r="AW7" s="42"/>
      <c r="AX7" s="42"/>
      <c r="AY7" s="43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</row>
    <row r="8" spans="1:69" s="91" customFormat="1" x14ac:dyDescent="0.2">
      <c r="A8" s="10"/>
      <c r="B8" s="15"/>
      <c r="C8" s="12"/>
      <c r="D8" s="12"/>
      <c r="E8" s="78"/>
      <c r="F8" s="10"/>
      <c r="G8" s="10"/>
      <c r="H8" s="9"/>
      <c r="I8" s="9"/>
      <c r="J8" s="23"/>
      <c r="K8" s="23"/>
      <c r="L8" s="23"/>
      <c r="M8" s="10"/>
      <c r="N8" s="9"/>
      <c r="O8" s="9"/>
      <c r="P8" s="9"/>
      <c r="Q8" s="9"/>
      <c r="R8" s="23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62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42"/>
      <c r="AV8" s="42"/>
      <c r="AW8" s="42"/>
      <c r="AX8" s="42"/>
      <c r="AY8" s="43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</row>
    <row r="9" spans="1:69" s="98" customFormat="1" ht="35.1" customHeight="1" x14ac:dyDescent="0.25">
      <c r="A9" s="72"/>
      <c r="B9" s="127"/>
      <c r="C9" s="27" t="str" cm="1">
        <f t="array" ref="C9">INDEX(Trad, 2, $B$1)</f>
        <v>Standort</v>
      </c>
      <c r="D9" s="74"/>
      <c r="E9" s="77"/>
      <c r="F9" s="74"/>
      <c r="G9" s="27" t="str" cm="1">
        <f t="array" ref="G9">INDEX(Trad, 3, $B$1)</f>
        <v>Alte Anlage</v>
      </c>
      <c r="H9" s="93" t="str" cm="1">
        <f t="array" ref="H9">INDEX(Trad, 28, $B$1)</f>
        <v>Pumpen = blau / Motor = orange / FU = grün</v>
      </c>
      <c r="I9" s="94"/>
      <c r="J9" s="94"/>
      <c r="K9" s="94"/>
      <c r="L9" s="94"/>
      <c r="M9" s="75"/>
      <c r="N9" s="74" t="str" cm="1">
        <f t="array" ref="N9">INDEX(Trad, 4, $B$1)</f>
        <v>Neue Anlage</v>
      </c>
      <c r="O9" s="93" t="str" cm="1">
        <f t="array" ref="O9">INDEX(Trad, 28, $B$1)</f>
        <v>Pumpen = blau / Motor = orange / FU = grün</v>
      </c>
      <c r="P9" s="74"/>
      <c r="Q9" s="74"/>
      <c r="R9" s="94"/>
      <c r="S9" s="75"/>
      <c r="T9" s="27" t="str" cm="1">
        <f t="array" ref="T9">INDEX(Trad, 5, $B$1)</f>
        <v>Unternehmen</v>
      </c>
      <c r="U9" s="74"/>
      <c r="V9" s="74"/>
      <c r="W9" s="74"/>
      <c r="X9" s="28" t="str" cm="1">
        <f t="array" ref="X9">INDEX(Trad, 26, $B$1)</f>
        <v>Einsparungen</v>
      </c>
      <c r="Y9" s="75"/>
      <c r="Z9" s="16"/>
      <c r="AA9" s="69" t="s">
        <v>4586</v>
      </c>
      <c r="AB9" s="69"/>
      <c r="AC9" s="69"/>
      <c r="AD9" s="95"/>
      <c r="AE9" s="95"/>
      <c r="AF9" s="95"/>
      <c r="AG9" s="95"/>
      <c r="AH9" s="96"/>
      <c r="AI9" s="97"/>
      <c r="AJ9" s="69" t="s">
        <v>4585</v>
      </c>
      <c r="AK9" s="69"/>
      <c r="AL9" s="69"/>
      <c r="AM9" s="95"/>
      <c r="AN9" s="95"/>
      <c r="AO9" s="16"/>
      <c r="AP9" s="45" t="s">
        <v>4589</v>
      </c>
      <c r="AQ9" s="45"/>
      <c r="AR9" s="16"/>
      <c r="AS9" s="45" t="s">
        <v>4564</v>
      </c>
      <c r="AT9" s="45"/>
      <c r="AU9" s="45"/>
      <c r="AV9" s="45"/>
      <c r="AW9" s="45"/>
      <c r="AX9" s="45"/>
      <c r="AY9" s="46"/>
      <c r="AZ9" s="16"/>
      <c r="BA9" s="47">
        <v>1</v>
      </c>
      <c r="BB9" s="47">
        <v>2</v>
      </c>
      <c r="BC9" s="47">
        <v>3</v>
      </c>
      <c r="BD9" s="47">
        <v>4</v>
      </c>
      <c r="BE9" s="47">
        <v>5</v>
      </c>
      <c r="BF9" s="47">
        <v>6</v>
      </c>
      <c r="BG9" s="47">
        <v>7</v>
      </c>
      <c r="BH9" s="47">
        <v>8</v>
      </c>
      <c r="BI9" s="47">
        <v>9</v>
      </c>
      <c r="BJ9" s="47">
        <v>10</v>
      </c>
      <c r="BK9" s="47">
        <v>11</v>
      </c>
      <c r="BL9" s="47">
        <v>12</v>
      </c>
      <c r="BM9" s="47">
        <v>13</v>
      </c>
      <c r="BN9" s="47">
        <v>14</v>
      </c>
      <c r="BO9" s="47">
        <v>15</v>
      </c>
      <c r="BP9" s="47">
        <v>16</v>
      </c>
      <c r="BQ9" s="16"/>
    </row>
    <row r="10" spans="1:69" s="102" customFormat="1" ht="60" customHeight="1" x14ac:dyDescent="0.2">
      <c r="A10" s="25"/>
      <c r="B10" s="128"/>
      <c r="C10" s="26" t="str" cm="1">
        <f t="array" ref="C10">INDEX(Trad, 14, $B$1)</f>
        <v>Name</v>
      </c>
      <c r="D10" s="26" t="str" cm="1">
        <f t="array" ref="D10">INDEX(Trad, 12, $B$1)</f>
        <v>Adresse</v>
      </c>
      <c r="E10" s="26" t="str" cm="1">
        <f t="array" ref="E10">INDEX(Trad, 15, $B$1)</f>
        <v>PLZ</v>
      </c>
      <c r="F10" s="26" t="str" cm="1">
        <f t="array" ref="F10">INDEX(Trad, 18, $B$1)</f>
        <v>Gemeinde</v>
      </c>
      <c r="G10" s="85" t="str" cm="1">
        <f t="array" ref="G10">INDEX(Trad, 40, $B$1)</f>
        <v>Pumpentyp</v>
      </c>
      <c r="H10" s="89" t="str" cm="1">
        <f t="array" ref="H10">INDEX(Trad, 42, $B$1)</f>
        <v>Nenn-durchfluss</v>
      </c>
      <c r="I10" s="89" t="str" cm="1">
        <f t="array" ref="I10">INDEX(Trad, 43, $B$1)</f>
        <v>ΔH bei Nenn-durchfluss</v>
      </c>
      <c r="J10" s="86" t="str" cm="1">
        <f t="array" ref="J10">INDEX(Trad, 29, $B$1)</f>
        <v>Nennleistung</v>
      </c>
      <c r="K10" s="26" t="str" cm="1">
        <f t="array" ref="K10">INDEX(Trad, 36, $B$1)</f>
        <v>Betriebs-stunden</v>
      </c>
      <c r="L10" s="26" t="str" cm="1">
        <f t="array" ref="L10">INDEX(Trad, 38, $B$1)</f>
        <v>Elektrische Leistungs-aufnahme (durch.)</v>
      </c>
      <c r="M10" s="26" t="str" cm="1">
        <f t="array" ref="M10">INDEX(Trad, 20, $B$1)</f>
        <v>Energiebedarf</v>
      </c>
      <c r="N10" s="88" t="str" cm="1">
        <f t="array" ref="N10">INDEX(Trad, 23, $B$1)</f>
        <v>Modellkennzeichnung</v>
      </c>
      <c r="O10" s="88" t="str" cm="1">
        <f t="array" ref="O10">INDEX(Trad, 24, $B$1)</f>
        <v>Marke/Hersteller</v>
      </c>
      <c r="P10" s="89" t="str" cm="1">
        <f t="array" ref="P10">INDEX(Trad, 57, $B$1)</f>
        <v>Durchfluss im Betrieb</v>
      </c>
      <c r="Q10" s="89" t="str" cm="1">
        <f t="array" ref="Q10">INDEX(Trad, 58, $B$1)</f>
        <v>ΔH beim Durchfluss im Betrieb</v>
      </c>
      <c r="R10" s="26" t="str" cm="1">
        <f t="array" ref="R10">INDEX(Trad, 38, $B$1)</f>
        <v>Elektrische Leistungs-aufnahme (durch.)</v>
      </c>
      <c r="S10" s="26" t="str" cm="1">
        <f t="array" ref="S10">INDEX(Trad, 20, $B$1)</f>
        <v>Energiebedarf</v>
      </c>
      <c r="T10" s="90" t="s">
        <v>4608</v>
      </c>
      <c r="U10" s="26" t="str" cm="1">
        <f t="array" ref="U10">INDEX(Trad, 14, $B$1)</f>
        <v>Name</v>
      </c>
      <c r="V10" s="26" t="str" cm="1">
        <f t="array" ref="V10">INDEX(Trad, 15, $B$1)</f>
        <v>PLZ</v>
      </c>
      <c r="W10" s="26" t="str" cm="1">
        <f t="array" ref="W10">INDEX(Trad, 18, $B$1)</f>
        <v>Gemeinde</v>
      </c>
      <c r="X10" s="26" t="str" cm="1">
        <f t="array" ref="X10">INDEX(Trad, 16, $B$1)</f>
        <v>Datum Inbetriebnahme</v>
      </c>
      <c r="Y10" s="26" t="str" cm="1">
        <f t="array" ref="Y10">INDEX(Trad, 26, $B$1)</f>
        <v>Einsparungen</v>
      </c>
      <c r="Z10" s="25"/>
      <c r="AA10" s="99" t="s">
        <v>4587</v>
      </c>
      <c r="AB10" s="99" t="s">
        <v>4588</v>
      </c>
      <c r="AC10" s="99" t="s">
        <v>4534</v>
      </c>
      <c r="AD10" s="99" t="s">
        <v>4584</v>
      </c>
      <c r="AE10" s="99" t="s">
        <v>4533</v>
      </c>
      <c r="AF10" s="99" t="s">
        <v>4593</v>
      </c>
      <c r="AG10" s="99" t="s">
        <v>4570</v>
      </c>
      <c r="AH10" s="100" t="s">
        <v>4571</v>
      </c>
      <c r="AI10" s="101"/>
      <c r="AJ10" s="99" t="s">
        <v>4567</v>
      </c>
      <c r="AK10" s="99" t="s">
        <v>4533</v>
      </c>
      <c r="AL10" s="99" t="s">
        <v>4593</v>
      </c>
      <c r="AM10" s="99" t="s">
        <v>4570</v>
      </c>
      <c r="AN10" s="99" t="s">
        <v>4571</v>
      </c>
      <c r="AO10" s="101"/>
      <c r="AP10" s="67" t="s">
        <v>4567</v>
      </c>
      <c r="AQ10" s="83" t="s">
        <v>4567</v>
      </c>
      <c r="AR10" s="101"/>
      <c r="AS10" s="67" t="s">
        <v>4567</v>
      </c>
      <c r="AT10" s="48" t="s">
        <v>4575</v>
      </c>
      <c r="AU10" s="48" t="s">
        <v>4575</v>
      </c>
      <c r="AV10" s="48" t="s">
        <v>4576</v>
      </c>
      <c r="AW10" s="48" t="s">
        <v>4577</v>
      </c>
      <c r="AX10" s="48" t="s">
        <v>4578</v>
      </c>
      <c r="AY10" s="48" t="s">
        <v>4469</v>
      </c>
      <c r="AZ10" s="25"/>
      <c r="BA10" s="49" t="s">
        <v>4537</v>
      </c>
      <c r="BB10" s="49" t="s">
        <v>4537</v>
      </c>
      <c r="BC10" s="49" t="s">
        <v>4537</v>
      </c>
      <c r="BD10" s="49" t="s">
        <v>4537</v>
      </c>
      <c r="BE10" s="49" t="s">
        <v>4539</v>
      </c>
      <c r="BF10" s="49" t="s">
        <v>4539</v>
      </c>
      <c r="BG10" s="49" t="s">
        <v>4539</v>
      </c>
      <c r="BH10" s="49" t="s">
        <v>4539</v>
      </c>
      <c r="BI10" s="49" t="s">
        <v>4541</v>
      </c>
      <c r="BJ10" s="49" t="s">
        <v>4541</v>
      </c>
      <c r="BK10" s="49" t="s">
        <v>4541</v>
      </c>
      <c r="BL10" s="49" t="s">
        <v>4541</v>
      </c>
      <c r="BM10" s="49" t="s">
        <v>4543</v>
      </c>
      <c r="BN10" s="49" t="s">
        <v>4543</v>
      </c>
      <c r="BO10" s="49" t="s">
        <v>4543</v>
      </c>
      <c r="BP10" s="49" t="s">
        <v>4543</v>
      </c>
      <c r="BQ10" s="25"/>
    </row>
    <row r="11" spans="1:69" s="104" customFormat="1" ht="15" customHeight="1" x14ac:dyDescent="0.2">
      <c r="A11" s="17"/>
      <c r="B11" s="129" t="s">
        <v>4466</v>
      </c>
      <c r="C11" s="18" t="s">
        <v>2</v>
      </c>
      <c r="D11" s="18" t="s">
        <v>2</v>
      </c>
      <c r="E11" s="19" t="s">
        <v>2</v>
      </c>
      <c r="F11" s="19" t="s">
        <v>2</v>
      </c>
      <c r="G11" s="19" t="s">
        <v>2</v>
      </c>
      <c r="H11" s="18" t="s">
        <v>4559</v>
      </c>
      <c r="I11" s="18" t="s">
        <v>4560</v>
      </c>
      <c r="J11" s="38" t="s">
        <v>4522</v>
      </c>
      <c r="K11" s="38" t="s">
        <v>4561</v>
      </c>
      <c r="L11" s="68" t="s">
        <v>4522</v>
      </c>
      <c r="M11" s="18" t="s">
        <v>4464</v>
      </c>
      <c r="N11" s="18" t="s">
        <v>2</v>
      </c>
      <c r="O11" s="18" t="s">
        <v>2</v>
      </c>
      <c r="P11" s="18" t="s">
        <v>4559</v>
      </c>
      <c r="Q11" s="18" t="s">
        <v>4560</v>
      </c>
      <c r="R11" s="68" t="s">
        <v>4522</v>
      </c>
      <c r="S11" s="18" t="s">
        <v>4464</v>
      </c>
      <c r="T11" s="19" t="s">
        <v>2</v>
      </c>
      <c r="U11" s="19" t="s">
        <v>2</v>
      </c>
      <c r="V11" s="19" t="s">
        <v>2</v>
      </c>
      <c r="W11" s="19" t="s">
        <v>2</v>
      </c>
      <c r="X11" s="19" t="s">
        <v>2</v>
      </c>
      <c r="Y11" s="19" t="s">
        <v>4465</v>
      </c>
      <c r="Z11" s="20"/>
      <c r="AA11" s="64" t="s">
        <v>4566</v>
      </c>
      <c r="AB11" s="64" t="s">
        <v>4566</v>
      </c>
      <c r="AC11" s="64" t="s">
        <v>4566</v>
      </c>
      <c r="AD11" s="64" t="s">
        <v>2</v>
      </c>
      <c r="AE11" s="64" t="s">
        <v>4522</v>
      </c>
      <c r="AF11" s="64" t="s">
        <v>4522</v>
      </c>
      <c r="AG11" s="64" t="s">
        <v>2</v>
      </c>
      <c r="AH11" s="65" t="s">
        <v>4565</v>
      </c>
      <c r="AI11" s="103"/>
      <c r="AJ11" s="58" t="s">
        <v>2</v>
      </c>
      <c r="AK11" s="64" t="s">
        <v>4522</v>
      </c>
      <c r="AL11" s="58" t="s">
        <v>4522</v>
      </c>
      <c r="AM11" s="64" t="s">
        <v>2</v>
      </c>
      <c r="AN11" s="57" t="s">
        <v>4568</v>
      </c>
      <c r="AO11" s="103"/>
      <c r="AP11" s="58" t="s">
        <v>4590</v>
      </c>
      <c r="AQ11" s="84">
        <v>-0.25</v>
      </c>
      <c r="AR11" s="103"/>
      <c r="AS11" s="57" t="s">
        <v>4565</v>
      </c>
      <c r="AT11" s="58" t="s">
        <v>4579</v>
      </c>
      <c r="AU11" s="58" t="s">
        <v>4545</v>
      </c>
      <c r="AV11" s="58">
        <v>1</v>
      </c>
      <c r="AW11" s="58">
        <v>2</v>
      </c>
      <c r="AX11" s="58">
        <v>3</v>
      </c>
      <c r="AY11" s="58">
        <v>4</v>
      </c>
      <c r="AZ11" s="20"/>
      <c r="BA11" s="49" t="s">
        <v>4576</v>
      </c>
      <c r="BB11" s="49" t="s">
        <v>4577</v>
      </c>
      <c r="BC11" s="49" t="s">
        <v>4578</v>
      </c>
      <c r="BD11" s="49" t="s">
        <v>4469</v>
      </c>
      <c r="BE11" s="49" t="s">
        <v>4576</v>
      </c>
      <c r="BF11" s="49" t="s">
        <v>4577</v>
      </c>
      <c r="BG11" s="49" t="s">
        <v>4578</v>
      </c>
      <c r="BH11" s="49" t="s">
        <v>4469</v>
      </c>
      <c r="BI11" s="49" t="s">
        <v>4576</v>
      </c>
      <c r="BJ11" s="49" t="s">
        <v>4577</v>
      </c>
      <c r="BK11" s="49" t="s">
        <v>4578</v>
      </c>
      <c r="BL11" s="49" t="s">
        <v>4469</v>
      </c>
      <c r="BM11" s="49" t="s">
        <v>4576</v>
      </c>
      <c r="BN11" s="49" t="s">
        <v>4577</v>
      </c>
      <c r="BO11" s="49" t="s">
        <v>4578</v>
      </c>
      <c r="BP11" s="49" t="s">
        <v>4469</v>
      </c>
      <c r="BQ11" s="20"/>
    </row>
    <row r="12" spans="1:69" s="91" customFormat="1" ht="14.25" customHeight="1" x14ac:dyDescent="0.2">
      <c r="A12" s="33" cm="1">
        <f t="array" ref="A12">IFERROR(INDEX(Operation, IFERROR(MATCH(#REF!, Y!$B$40:$B$51, 0), IFERROR(MATCH(#REF!, Y!$C$40:$C$51, 0), MATCH(#REF!, Y!$D$40:$D$51, 0))), 4), 0)</f>
        <v>0</v>
      </c>
      <c r="B12" s="105">
        <v>1</v>
      </c>
      <c r="C12" s="122" t="s">
        <v>4521</v>
      </c>
      <c r="D12" s="123" t="s">
        <v>4508</v>
      </c>
      <c r="E12" s="30">
        <v>8002</v>
      </c>
      <c r="F12" s="8" t="str">
        <f>IF(ISBLANK(E12), "", VLOOKUP(E12, Z!$A$2:$C$4127, 3, FALSE))</f>
        <v>Zürich</v>
      </c>
      <c r="G12" s="60" t="s">
        <v>4546</v>
      </c>
      <c r="H12" s="76">
        <v>400</v>
      </c>
      <c r="I12" s="34">
        <v>15</v>
      </c>
      <c r="J12" s="40">
        <v>22.5</v>
      </c>
      <c r="K12" s="41">
        <v>6750</v>
      </c>
      <c r="L12" s="40">
        <v>20.8</v>
      </c>
      <c r="M12" s="31">
        <f>K12*L12</f>
        <v>140400</v>
      </c>
      <c r="N12" s="82" t="s">
        <v>4591</v>
      </c>
      <c r="O12" s="81" t="s">
        <v>4592</v>
      </c>
      <c r="P12" s="61">
        <v>360</v>
      </c>
      <c r="Q12" s="35">
        <v>10</v>
      </c>
      <c r="R12" s="40">
        <v>17.899999999999999</v>
      </c>
      <c r="S12" s="31">
        <f>K12*R12</f>
        <v>120824.99999999999</v>
      </c>
      <c r="T12" s="6" t="s">
        <v>4463</v>
      </c>
      <c r="U12" s="7" t="s">
        <v>3</v>
      </c>
      <c r="V12" s="30">
        <v>8215</v>
      </c>
      <c r="W12" s="8" t="str">
        <f>IF(ISBLANK(V12), "", VLOOKUP(V12, Z!$A$2:$C$4127, 3, FALSE))</f>
        <v>Hallau</v>
      </c>
      <c r="X12" s="36">
        <v>45575</v>
      </c>
      <c r="Y12" s="87">
        <f>IF(J12&lt;20, 15, 25)*0.75*(M12-S12)/1000</f>
        <v>367.03125000000028</v>
      </c>
      <c r="Z12" s="21"/>
      <c r="AA12" s="106">
        <f>IFERROR(120*50/#REF!, 0)</f>
        <v>0</v>
      </c>
      <c r="AB12" s="106">
        <f>IFERROR(VLOOKUP($G12, Y!$F$2:$I$10, 4, FALSE), 0)</f>
        <v>1450</v>
      </c>
      <c r="AC12" s="107">
        <f>IFERROR(VLOOKUP($G12, Y!$F$2:$I$10, 4, FALSE) * SQRT(H12/3600)/(I12/#REF!)^0.75, 0)</f>
        <v>0</v>
      </c>
      <c r="AD12" s="108">
        <f>IFERROR((88.59*LN(AC12) + 13.46*LN(H12) - 11.48*LN(AC12)^2 -0.85*LN(H12)^2 - 0.38*LN(AC12)*LN(H12) - VLOOKUP(G12,Y!$F$2:$H$10, 2, FALSE) ) / 100, 0)</f>
        <v>0</v>
      </c>
      <c r="AE12" s="109">
        <f t="shared" ref="AE12:AE43" si="0">IFERROR(H12*I12*9.81/3600, 0)</f>
        <v>16.350000000000001</v>
      </c>
      <c r="AF12" s="109">
        <f>IFERROR(AE12/AD12, 0)</f>
        <v>0</v>
      </c>
      <c r="AG12" s="110">
        <f t="shared" ref="AG12:AG43" si="1">IFERROR(AF12/J12, 0)</f>
        <v>0</v>
      </c>
      <c r="AH12" s="111">
        <f t="shared" ref="AH12:AH43" si="2">AF12/AS12</f>
        <v>0</v>
      </c>
      <c r="AI12" s="25"/>
      <c r="AJ12" s="108" t="e">
        <f>#REF!</f>
        <v>#REF!</v>
      </c>
      <c r="AK12" s="112">
        <f t="shared" ref="AK12:AK43" si="3">P12*Q12*9.81/3600</f>
        <v>9.81</v>
      </c>
      <c r="AL12" s="112">
        <f>IFERROR(AK12/AJ12, 0)</f>
        <v>0</v>
      </c>
      <c r="AM12" s="110">
        <f t="shared" ref="AM12:AM43" si="4">IFERROR(AL12/J12, 0)</f>
        <v>0</v>
      </c>
      <c r="AN12" s="109">
        <f>IFERROR(AL12/AS12/AQ12, 0)</f>
        <v>0</v>
      </c>
      <c r="AO12" s="25"/>
      <c r="AP12" s="80">
        <f t="shared" ref="AP12:AP43" si="5">IFERROR((79+22*(1-1/(LOG10(40*J12))))/100, 0)</f>
        <v>0.93553082582182701</v>
      </c>
      <c r="AQ12" s="80">
        <f>1 - 0.75*(1-AP12)</f>
        <v>0.95164811936637028</v>
      </c>
      <c r="AR12" s="25"/>
      <c r="AS12" s="66">
        <f t="shared" ref="AS12:AS43" si="6">IFERROR((AV12*LOG(J12)^3 + AW12*LOG(J12)^2 + AX12*LOG(J12) + AY12) / 100, 1)</f>
        <v>1</v>
      </c>
      <c r="AT12" s="50">
        <f>IFERROR((MATCH(#REF!, $BA$21:$BA$23, 0) - 1)*4, 0)</f>
        <v>0</v>
      </c>
      <c r="AU12" s="48">
        <f>IFERROR(#REF!/2 + IF(J12&lt;0.75, 0, 4), 0)</f>
        <v>0</v>
      </c>
      <c r="AV12" s="48" t="str" cm="1">
        <f t="array" ref="AV12">IF($AU12&gt;0, INDEX($BA$12:$BP$19, $AU12, $AT12+AV$11), "-")</f>
        <v>-</v>
      </c>
      <c r="AW12" s="48" t="str" cm="1">
        <f t="array" ref="AW12">IF($AU12&gt;0, INDEX($BA$12:$BP$19, $AU12, $AT12+AW$11), "-")</f>
        <v>-</v>
      </c>
      <c r="AX12" s="48" t="str" cm="1">
        <f t="array" ref="AX12">IF($AU12&gt;0, INDEX($BA$12:$BP$19, $AU12, $AT12+AX$11), "-")</f>
        <v>-</v>
      </c>
      <c r="AY12" s="48" t="str" cm="1">
        <f t="array" ref="AY12">IF($AU12&gt;0, INDEX($BA$12:$BP$19, $AU12, $AT12+AY$11), "-")</f>
        <v>-</v>
      </c>
      <c r="AZ12" s="42">
        <v>2</v>
      </c>
      <c r="BA12" s="51">
        <v>11.923999999999999</v>
      </c>
      <c r="BB12" s="51">
        <v>6.3699000000000003</v>
      </c>
      <c r="BC12" s="51">
        <v>30.050899999999999</v>
      </c>
      <c r="BD12" s="51">
        <v>76.613600000000005</v>
      </c>
      <c r="BE12" s="51">
        <v>22.4864</v>
      </c>
      <c r="BF12" s="51">
        <v>27.760300000000001</v>
      </c>
      <c r="BG12" s="51">
        <v>37.809100000000001</v>
      </c>
      <c r="BH12" s="51">
        <v>82.457999999999998</v>
      </c>
      <c r="BI12" s="51">
        <v>6.8532000000000002</v>
      </c>
      <c r="BJ12" s="51">
        <v>6.2005999999999997</v>
      </c>
      <c r="BK12" s="51">
        <v>25.131699999999999</v>
      </c>
      <c r="BL12" s="51">
        <v>84.039199999999994</v>
      </c>
      <c r="BM12" s="51">
        <v>-8.8537999999999997</v>
      </c>
      <c r="BN12" s="51">
        <v>-20.3352</v>
      </c>
      <c r="BO12" s="51">
        <v>8.9001999999999999</v>
      </c>
      <c r="BP12" s="51">
        <v>85.064099999999996</v>
      </c>
      <c r="BQ12" s="47">
        <v>1</v>
      </c>
    </row>
    <row r="13" spans="1:69" s="91" customFormat="1" x14ac:dyDescent="0.2">
      <c r="A13" s="33" cm="1">
        <f t="array" ref="A13">IFERROR(INDEX(Operation, IFERROR(MATCH(#REF!, Y!$B$40:$B$51, 0), IFERROR(MATCH(#REF!, Y!$C$40:$C$51, 0), MATCH(#REF!, Y!$D$40:$D$51, 0))), 4), 0)</f>
        <v>0</v>
      </c>
      <c r="B13" s="105">
        <v>2</v>
      </c>
      <c r="C13" s="122"/>
      <c r="D13" s="123"/>
      <c r="E13" s="30"/>
      <c r="F13" s="8" t="str">
        <f>IF(ISBLANK(E13), "", VLOOKUP(E13, Z!$A$2:$C$4127, 3, FALSE))</f>
        <v/>
      </c>
      <c r="G13" s="60"/>
      <c r="H13" s="76"/>
      <c r="I13" s="34"/>
      <c r="J13" s="40"/>
      <c r="K13" s="41"/>
      <c r="L13" s="40"/>
      <c r="M13" s="31">
        <f t="shared" ref="M13:M76" si="7">K13*L13</f>
        <v>0</v>
      </c>
      <c r="N13" s="71"/>
      <c r="O13" s="70"/>
      <c r="P13" s="61"/>
      <c r="Q13" s="35"/>
      <c r="R13" s="40"/>
      <c r="S13" s="31">
        <f t="shared" ref="S13:S76" si="8">K13*R13</f>
        <v>0</v>
      </c>
      <c r="T13" s="6"/>
      <c r="U13" s="7"/>
      <c r="V13" s="30"/>
      <c r="W13" s="8" t="str">
        <f>IF(ISBLANK(V13), "", VLOOKUP(V13, Z!$A$2:$C$4127, 3, FALSE))</f>
        <v/>
      </c>
      <c r="X13" s="36"/>
      <c r="Y13" s="87">
        <f t="shared" ref="Y13:Y76" si="9">IF(J13&lt;20, 15, 25)*0.75*(M13-S13)/1000</f>
        <v>0</v>
      </c>
      <c r="Z13" s="21"/>
      <c r="AA13" s="106">
        <f>IFERROR(120*50/#REF!, 0)</f>
        <v>0</v>
      </c>
      <c r="AB13" s="106">
        <f>IFERROR(VLOOKUP($G13, Y!$F$2:$I$10, 4, FALSE), 0)</f>
        <v>0</v>
      </c>
      <c r="AC13" s="107">
        <f>IFERROR(VLOOKUP($G13, Y!$F$2:$I$10, 4, FALSE) * SQRT(H13/3600)/(I13/#REF!)^0.75, 0)</f>
        <v>0</v>
      </c>
      <c r="AD13" s="108">
        <f>IFERROR((88.59*LN(AC13) + 13.46*LN(H13) - 11.48*LN(AC13)^2 -0.85*LN(H13)^2 - 0.38*LN(AC13)*LN(H13) - VLOOKUP(G13,Y!$F$2:$H$10, 2, FALSE) ) / 100, 0)</f>
        <v>0</v>
      </c>
      <c r="AE13" s="109">
        <f t="shared" si="0"/>
        <v>0</v>
      </c>
      <c r="AF13" s="109">
        <f t="shared" ref="AF13:AF76" si="10">IFERROR(AE13/AD13, 0)</f>
        <v>0</v>
      </c>
      <c r="AG13" s="110">
        <f t="shared" si="1"/>
        <v>0</v>
      </c>
      <c r="AH13" s="111">
        <f t="shared" si="2"/>
        <v>0</v>
      </c>
      <c r="AI13" s="25"/>
      <c r="AJ13" s="108">
        <f>IFERROR(#REF!*#REF!^2 /(#REF!/AA13)^2 +#REF! *#REF! /(#REF!/AA13), 0)</f>
        <v>0</v>
      </c>
      <c r="AK13" s="112">
        <f t="shared" si="3"/>
        <v>0</v>
      </c>
      <c r="AL13" s="112">
        <f t="shared" ref="AL13:AL76" si="11">IFERROR(AK13/AJ13, 0)</f>
        <v>0</v>
      </c>
      <c r="AM13" s="110">
        <f t="shared" si="4"/>
        <v>0</v>
      </c>
      <c r="AN13" s="109">
        <f t="shared" ref="AN13:AN76" si="12">IFERROR(AL13/AS13/AQ13, 0)</f>
        <v>0</v>
      </c>
      <c r="AO13" s="25"/>
      <c r="AP13" s="80">
        <f t="shared" si="5"/>
        <v>0</v>
      </c>
      <c r="AQ13" s="80">
        <f t="shared" ref="AQ13:AQ76" si="13">1 - 0.75*(1-AP13)</f>
        <v>0.25</v>
      </c>
      <c r="AR13" s="25"/>
      <c r="AS13" s="66">
        <f t="shared" si="6"/>
        <v>1</v>
      </c>
      <c r="AT13" s="50">
        <f>IFERROR((MATCH(#REF!, $BA$21:$BA$23, 0) - 1)*4, 0)</f>
        <v>0</v>
      </c>
      <c r="AU13" s="48">
        <f>IFERROR(#REF!/2 + IF(J13&lt;0.75, 0, 4), 0)</f>
        <v>0</v>
      </c>
      <c r="AV13" s="48" t="str" cm="1">
        <f t="array" ref="AV13">IF($AU13&gt;0, INDEX($BA$12:$BP$19, $AU13, $AT13+AV$11), "-")</f>
        <v>-</v>
      </c>
      <c r="AW13" s="48" t="str" cm="1">
        <f t="array" ref="AW13">IF($AU13&gt;0, INDEX($BA$12:$BP$19, $AU13, $AT13+AW$11), "-")</f>
        <v>-</v>
      </c>
      <c r="AX13" s="48" t="str" cm="1">
        <f t="array" ref="AX13">IF($AU13&gt;0, INDEX($BA$12:$BP$19, $AU13, $AT13+AX$11), "-")</f>
        <v>-</v>
      </c>
      <c r="AY13" s="48" t="str" cm="1">
        <f t="array" ref="AY13">IF($AU13&gt;0, INDEX($BA$12:$BP$19, $AU13, $AT13+AY$11), "-")</f>
        <v>-</v>
      </c>
      <c r="AZ13" s="42">
        <v>4</v>
      </c>
      <c r="BA13" s="51">
        <v>16.7271</v>
      </c>
      <c r="BB13" s="51">
        <v>12.7136</v>
      </c>
      <c r="BC13" s="51">
        <v>25.946999999999999</v>
      </c>
      <c r="BD13" s="51">
        <v>76.174000000000007</v>
      </c>
      <c r="BE13" s="51">
        <v>17.275099999999998</v>
      </c>
      <c r="BF13" s="51">
        <v>23.978000000000002</v>
      </c>
      <c r="BG13" s="51">
        <v>35.5822</v>
      </c>
      <c r="BH13" s="51">
        <v>84.993499999999997</v>
      </c>
      <c r="BI13" s="51">
        <v>7.6356000000000002</v>
      </c>
      <c r="BJ13" s="51">
        <v>4.8235999999999999</v>
      </c>
      <c r="BK13" s="51">
        <v>21.090299999999999</v>
      </c>
      <c r="BL13" s="51">
        <v>86.099800000000002</v>
      </c>
      <c r="BM13" s="51">
        <v>8.4320000000000004</v>
      </c>
      <c r="BN13" s="51">
        <v>2.6888000000000001</v>
      </c>
      <c r="BO13" s="51">
        <v>14.6236</v>
      </c>
      <c r="BP13" s="51">
        <v>87.615300000000005</v>
      </c>
      <c r="BQ13" s="47">
        <v>2</v>
      </c>
    </row>
    <row r="14" spans="1:69" s="91" customFormat="1" x14ac:dyDescent="0.2">
      <c r="A14" s="33" cm="1">
        <f t="array" ref="A14">IFERROR(INDEX(Operation, IFERROR(MATCH(#REF!, Y!$B$40:$B$51, 0), IFERROR(MATCH(#REF!, Y!$C$40:$C$51, 0), MATCH(#REF!, Y!$D$40:$D$51, 0))), 4), 0)</f>
        <v>0</v>
      </c>
      <c r="B14" s="105">
        <v>3</v>
      </c>
      <c r="C14" s="7"/>
      <c r="D14" s="7"/>
      <c r="E14" s="30"/>
      <c r="F14" s="8" t="str">
        <f>IF(ISBLANK(E14), "", VLOOKUP(E14, Z!$A$2:$C$4127, 3, FALSE))</f>
        <v/>
      </c>
      <c r="G14" s="60"/>
      <c r="H14" s="124"/>
      <c r="I14" s="34"/>
      <c r="J14" s="40"/>
      <c r="K14" s="41"/>
      <c r="L14" s="40"/>
      <c r="M14" s="31">
        <f t="shared" si="7"/>
        <v>0</v>
      </c>
      <c r="N14" s="7"/>
      <c r="O14" s="7"/>
      <c r="P14" s="61"/>
      <c r="Q14" s="35"/>
      <c r="R14" s="40"/>
      <c r="S14" s="31">
        <f t="shared" si="8"/>
        <v>0</v>
      </c>
      <c r="T14" s="6"/>
      <c r="U14" s="7"/>
      <c r="V14" s="30"/>
      <c r="W14" s="8" t="str">
        <f>IF(ISBLANK(V14), "", VLOOKUP(V14, Z!$A$2:$C$4127, 3, FALSE))</f>
        <v/>
      </c>
      <c r="X14" s="36"/>
      <c r="Y14" s="87">
        <f t="shared" si="9"/>
        <v>0</v>
      </c>
      <c r="Z14" s="21"/>
      <c r="AA14" s="106">
        <f>IFERROR(120*50/#REF!, 0)</f>
        <v>0</v>
      </c>
      <c r="AB14" s="106">
        <f>IFERROR(VLOOKUP($G14, Y!$F$2:$I$10, 4, FALSE), 0)</f>
        <v>0</v>
      </c>
      <c r="AC14" s="107">
        <f>IFERROR(VLOOKUP($G14, Y!$F$2:$I$10, 4, FALSE) * SQRT(H14/3600)/(I14/#REF!)^0.75, 0)</f>
        <v>0</v>
      </c>
      <c r="AD14" s="108">
        <f>IFERROR((88.59*LN(AC14) + 13.46*LN(H14) - 11.48*LN(AC14)^2 -0.85*LN(H14)^2 - 0.38*LN(AC14)*LN(H14) - VLOOKUP(G14,Y!$F$2:$H$10, 2, FALSE) ) / 100, 0)</f>
        <v>0</v>
      </c>
      <c r="AE14" s="109">
        <f t="shared" si="0"/>
        <v>0</v>
      </c>
      <c r="AF14" s="109">
        <f t="shared" si="10"/>
        <v>0</v>
      </c>
      <c r="AG14" s="110">
        <f t="shared" si="1"/>
        <v>0</v>
      </c>
      <c r="AH14" s="111">
        <f t="shared" si="2"/>
        <v>0</v>
      </c>
      <c r="AI14" s="25"/>
      <c r="AJ14" s="108">
        <f>IFERROR(#REF!*#REF!^2 /(#REF!/AA14)^2 +#REF! *#REF! /(#REF!/AA14), 0)</f>
        <v>0</v>
      </c>
      <c r="AK14" s="112">
        <f t="shared" si="3"/>
        <v>0</v>
      </c>
      <c r="AL14" s="112">
        <f t="shared" si="11"/>
        <v>0</v>
      </c>
      <c r="AM14" s="110">
        <f t="shared" si="4"/>
        <v>0</v>
      </c>
      <c r="AN14" s="109">
        <f t="shared" si="12"/>
        <v>0</v>
      </c>
      <c r="AO14" s="25"/>
      <c r="AP14" s="80">
        <f t="shared" si="5"/>
        <v>0</v>
      </c>
      <c r="AQ14" s="80">
        <f t="shared" si="13"/>
        <v>0.25</v>
      </c>
      <c r="AR14" s="25"/>
      <c r="AS14" s="66">
        <f t="shared" si="6"/>
        <v>1</v>
      </c>
      <c r="AT14" s="50">
        <f>IFERROR((MATCH(#REF!, $BA$21:$BA$23, 0) - 1)*4, 0)</f>
        <v>0</v>
      </c>
      <c r="AU14" s="48">
        <f>IFERROR(#REF!/2 + IF(J14&lt;0.75, 0, 4), 0)</f>
        <v>0</v>
      </c>
      <c r="AV14" s="48" t="str" cm="1">
        <f t="array" ref="AV14">IF($AU14&gt;0, INDEX($BA$12:$BP$19, $AU14, $AT14+AV$11), "-")</f>
        <v>-</v>
      </c>
      <c r="AW14" s="48" t="str" cm="1">
        <f t="array" ref="AW14">IF($AU14&gt;0, INDEX($BA$12:$BP$19, $AU14, $AT14+AW$11), "-")</f>
        <v>-</v>
      </c>
      <c r="AX14" s="48" t="str" cm="1">
        <f t="array" ref="AX14">IF($AU14&gt;0, INDEX($BA$12:$BP$19, $AU14, $AT14+AX$11), "-")</f>
        <v>-</v>
      </c>
      <c r="AY14" s="48" t="str" cm="1">
        <f t="array" ref="AY14">IF($AU14&gt;0, INDEX($BA$12:$BP$19, $AU14, $AT14+AY$11), "-")</f>
        <v>-</v>
      </c>
      <c r="AZ14" s="42">
        <v>6</v>
      </c>
      <c r="BA14" s="51">
        <v>-45.965200000000003</v>
      </c>
      <c r="BB14" s="51">
        <v>-87.147400000000005</v>
      </c>
      <c r="BC14" s="51">
        <v>-8.2383000000000006</v>
      </c>
      <c r="BD14" s="51">
        <v>68.7303</v>
      </c>
      <c r="BE14" s="51">
        <v>-15.921799999999999</v>
      </c>
      <c r="BF14" s="51">
        <v>-30.257999999999999</v>
      </c>
      <c r="BG14" s="51">
        <v>16.6861</v>
      </c>
      <c r="BH14" s="51">
        <v>79.183800000000005</v>
      </c>
      <c r="BI14" s="51">
        <v>-17.361000000000001</v>
      </c>
      <c r="BJ14" s="51">
        <v>-44.537999999999997</v>
      </c>
      <c r="BK14" s="51">
        <v>-3.0554000000000001</v>
      </c>
      <c r="BL14" s="51">
        <v>79.131799999999998</v>
      </c>
      <c r="BM14" s="51">
        <v>-13.035500000000001</v>
      </c>
      <c r="BN14" s="51">
        <v>-36.9497</v>
      </c>
      <c r="BO14" s="51">
        <v>-4.3620999999999999</v>
      </c>
      <c r="BP14" s="51">
        <v>82.000900000000001</v>
      </c>
      <c r="BQ14" s="47">
        <v>3</v>
      </c>
    </row>
    <row r="15" spans="1:69" s="91" customFormat="1" x14ac:dyDescent="0.2">
      <c r="A15" s="33" cm="1">
        <f t="array" ref="A15">IFERROR(INDEX(Operation, IFERROR(MATCH(#REF!, Y!$B$40:$B$51, 0), IFERROR(MATCH(#REF!, Y!$C$40:$C$51, 0), MATCH(#REF!, Y!$D$40:$D$51, 0))), 4), 0)</f>
        <v>0</v>
      </c>
      <c r="B15" s="105">
        <v>4</v>
      </c>
      <c r="C15" s="7"/>
      <c r="D15" s="7"/>
      <c r="E15" s="30"/>
      <c r="F15" s="8" t="str">
        <f>IF(ISBLANK(E15), "", VLOOKUP(E15, Z!$A$2:$C$4127, 3, FALSE))</f>
        <v/>
      </c>
      <c r="G15" s="60"/>
      <c r="H15" s="124"/>
      <c r="I15" s="34"/>
      <c r="J15" s="40"/>
      <c r="K15" s="41"/>
      <c r="L15" s="40"/>
      <c r="M15" s="31">
        <f t="shared" si="7"/>
        <v>0</v>
      </c>
      <c r="N15" s="7"/>
      <c r="O15" s="7"/>
      <c r="P15" s="61"/>
      <c r="Q15" s="35"/>
      <c r="R15" s="40"/>
      <c r="S15" s="31">
        <f t="shared" si="8"/>
        <v>0</v>
      </c>
      <c r="T15" s="6"/>
      <c r="U15" s="7"/>
      <c r="V15" s="30"/>
      <c r="W15" s="8" t="str">
        <f>IF(ISBLANK(V15), "", VLOOKUP(V15, Z!$A$2:$C$4127, 3, FALSE))</f>
        <v/>
      </c>
      <c r="X15" s="36"/>
      <c r="Y15" s="87">
        <f t="shared" si="9"/>
        <v>0</v>
      </c>
      <c r="Z15" s="21"/>
      <c r="AA15" s="106">
        <f>IFERROR(120*50/#REF!, 0)</f>
        <v>0</v>
      </c>
      <c r="AB15" s="106">
        <f>IFERROR(VLOOKUP($G15, Y!$F$2:$I$10, 4, FALSE), 0)</f>
        <v>0</v>
      </c>
      <c r="AC15" s="107">
        <f>IFERROR(VLOOKUP($G15, Y!$F$2:$I$10, 4, FALSE) * SQRT(H15/3600)/(I15/#REF!)^0.75, 0)</f>
        <v>0</v>
      </c>
      <c r="AD15" s="108">
        <f>IFERROR((88.59*LN(AC15) + 13.46*LN(H15) - 11.48*LN(AC15)^2 -0.85*LN(H15)^2 - 0.38*LN(AC15)*LN(H15) - VLOOKUP(G15,Y!$F$2:$H$10, 2, FALSE) ) / 100, 0)</f>
        <v>0</v>
      </c>
      <c r="AE15" s="109">
        <f t="shared" si="0"/>
        <v>0</v>
      </c>
      <c r="AF15" s="109">
        <f t="shared" si="10"/>
        <v>0</v>
      </c>
      <c r="AG15" s="110">
        <f t="shared" si="1"/>
        <v>0</v>
      </c>
      <c r="AH15" s="111">
        <f t="shared" si="2"/>
        <v>0</v>
      </c>
      <c r="AI15" s="25"/>
      <c r="AJ15" s="108">
        <f>IFERROR(#REF!*#REF!^2 /(#REF!/AA15)^2 +#REF! *#REF! /(#REF!/AA15), 0)</f>
        <v>0</v>
      </c>
      <c r="AK15" s="112">
        <f t="shared" si="3"/>
        <v>0</v>
      </c>
      <c r="AL15" s="112">
        <f t="shared" si="11"/>
        <v>0</v>
      </c>
      <c r="AM15" s="110">
        <f t="shared" si="4"/>
        <v>0</v>
      </c>
      <c r="AN15" s="109">
        <f t="shared" si="12"/>
        <v>0</v>
      </c>
      <c r="AO15" s="25"/>
      <c r="AP15" s="80">
        <f t="shared" si="5"/>
        <v>0</v>
      </c>
      <c r="AQ15" s="80">
        <f t="shared" si="13"/>
        <v>0.25</v>
      </c>
      <c r="AR15" s="25"/>
      <c r="AS15" s="66">
        <f t="shared" si="6"/>
        <v>1</v>
      </c>
      <c r="AT15" s="50">
        <f>IFERROR((MATCH(#REF!, $BA$21:$BA$23, 0) - 1)*4, 0)</f>
        <v>0</v>
      </c>
      <c r="AU15" s="48">
        <f>IFERROR(#REF!/2 + IF(J15&lt;0.75, 0, 4), 0)</f>
        <v>0</v>
      </c>
      <c r="AV15" s="48" t="str" cm="1">
        <f t="array" ref="AV15">IF($AU15&gt;0, INDEX($BA$12:$BP$19, $AU15, $AT15+AV$11), "-")</f>
        <v>-</v>
      </c>
      <c r="AW15" s="48" t="str" cm="1">
        <f t="array" ref="AW15">IF($AU15&gt;0, INDEX($BA$12:$BP$19, $AU15, $AT15+AW$11), "-")</f>
        <v>-</v>
      </c>
      <c r="AX15" s="48" t="str" cm="1">
        <f t="array" ref="AX15">IF($AU15&gt;0, INDEX($BA$12:$BP$19, $AU15, $AT15+AX$11), "-")</f>
        <v>-</v>
      </c>
      <c r="AY15" s="48" t="str" cm="1">
        <f t="array" ref="AY15">IF($AU15&gt;0, INDEX($BA$12:$BP$19, $AU15, $AT15+AY$11), "-")</f>
        <v>-</v>
      </c>
      <c r="AZ15" s="42">
        <v>8</v>
      </c>
      <c r="BA15" s="51">
        <v>5.9466000000000001</v>
      </c>
      <c r="BB15" s="51">
        <v>7.9458000000000002</v>
      </c>
      <c r="BC15" s="51">
        <v>40.441000000000003</v>
      </c>
      <c r="BD15" s="51">
        <v>66.146000000000001</v>
      </c>
      <c r="BE15" s="51">
        <v>6.4855</v>
      </c>
      <c r="BF15" s="51">
        <v>9.4748000000000001</v>
      </c>
      <c r="BG15" s="51">
        <v>36.851999999999997</v>
      </c>
      <c r="BH15" s="51">
        <v>70.762</v>
      </c>
      <c r="BI15" s="51">
        <v>-0.58960000000000001</v>
      </c>
      <c r="BJ15" s="51">
        <v>-25.526</v>
      </c>
      <c r="BK15" s="51">
        <v>4.2884000000000002</v>
      </c>
      <c r="BL15" s="51">
        <v>75.831000000000003</v>
      </c>
      <c r="BM15" s="51">
        <v>-4.9734999999999996</v>
      </c>
      <c r="BN15" s="51">
        <v>-21.452999999999999</v>
      </c>
      <c r="BO15" s="51">
        <v>2.6652999999999998</v>
      </c>
      <c r="BP15" s="51">
        <v>79.055000000000007</v>
      </c>
      <c r="BQ15" s="47">
        <v>4</v>
      </c>
    </row>
    <row r="16" spans="1:69" s="91" customFormat="1" x14ac:dyDescent="0.2">
      <c r="A16" s="33" cm="1">
        <f t="array" ref="A16">IFERROR(INDEX(Operation, IFERROR(MATCH(#REF!, Y!$B$40:$B$51, 0), IFERROR(MATCH(#REF!, Y!$C$40:$C$51, 0), MATCH(#REF!, Y!$D$40:$D$51, 0))), 4), 0)</f>
        <v>0</v>
      </c>
      <c r="B16" s="105">
        <v>5</v>
      </c>
      <c r="C16" s="7"/>
      <c r="D16" s="7"/>
      <c r="E16" s="30"/>
      <c r="F16" s="8" t="str">
        <f>IF(ISBLANK(E16), "", VLOOKUP(E16, Z!$A$2:$C$4127, 3, FALSE))</f>
        <v/>
      </c>
      <c r="G16" s="60"/>
      <c r="H16" s="124"/>
      <c r="I16" s="34"/>
      <c r="J16" s="40"/>
      <c r="K16" s="41"/>
      <c r="L16" s="40"/>
      <c r="M16" s="31">
        <f t="shared" si="7"/>
        <v>0</v>
      </c>
      <c r="N16" s="7"/>
      <c r="O16" s="7"/>
      <c r="P16" s="61"/>
      <c r="Q16" s="35"/>
      <c r="R16" s="40"/>
      <c r="S16" s="31">
        <f t="shared" si="8"/>
        <v>0</v>
      </c>
      <c r="T16" s="6"/>
      <c r="U16" s="7"/>
      <c r="V16" s="30"/>
      <c r="W16" s="8" t="str">
        <f>IF(ISBLANK(V16), "", VLOOKUP(V16, Z!$A$2:$C$4127, 3, FALSE))</f>
        <v/>
      </c>
      <c r="X16" s="36"/>
      <c r="Y16" s="87">
        <f t="shared" si="9"/>
        <v>0</v>
      </c>
      <c r="Z16" s="21"/>
      <c r="AA16" s="106">
        <f>IFERROR(120*50/#REF!, 0)</f>
        <v>0</v>
      </c>
      <c r="AB16" s="106">
        <f>IFERROR(VLOOKUP($G16, Y!$F$2:$I$10, 4, FALSE), 0)</f>
        <v>0</v>
      </c>
      <c r="AC16" s="107">
        <f>IFERROR(VLOOKUP($G16, Y!$F$2:$I$10, 4, FALSE) * SQRT(H16/3600)/(I16/#REF!)^0.75, 0)</f>
        <v>0</v>
      </c>
      <c r="AD16" s="108">
        <f>IFERROR((88.59*LN(AC16) + 13.46*LN(H16) - 11.48*LN(AC16)^2 -0.85*LN(H16)^2 - 0.38*LN(AC16)*LN(H16) - VLOOKUP(G16,Y!$F$2:$H$10, 2, FALSE) ) / 100, 0)</f>
        <v>0</v>
      </c>
      <c r="AE16" s="109">
        <f t="shared" si="0"/>
        <v>0</v>
      </c>
      <c r="AF16" s="109">
        <f t="shared" si="10"/>
        <v>0</v>
      </c>
      <c r="AG16" s="110">
        <f t="shared" si="1"/>
        <v>0</v>
      </c>
      <c r="AH16" s="111">
        <f t="shared" si="2"/>
        <v>0</v>
      </c>
      <c r="AI16" s="25"/>
      <c r="AJ16" s="108">
        <f>IFERROR(#REF!*#REF!^2 /(#REF!/AA16)^2 +#REF! *#REF! /(#REF!/AA16), 0)</f>
        <v>0</v>
      </c>
      <c r="AK16" s="112">
        <f t="shared" si="3"/>
        <v>0</v>
      </c>
      <c r="AL16" s="112">
        <f t="shared" si="11"/>
        <v>0</v>
      </c>
      <c r="AM16" s="110">
        <f t="shared" si="4"/>
        <v>0</v>
      </c>
      <c r="AN16" s="109">
        <f t="shared" si="12"/>
        <v>0</v>
      </c>
      <c r="AO16" s="25"/>
      <c r="AP16" s="80">
        <f t="shared" si="5"/>
        <v>0</v>
      </c>
      <c r="AQ16" s="80">
        <f t="shared" si="13"/>
        <v>0.25</v>
      </c>
      <c r="AR16" s="25"/>
      <c r="AS16" s="66">
        <f t="shared" si="6"/>
        <v>1</v>
      </c>
      <c r="AT16" s="50">
        <f>IFERROR((MATCH(#REF!, $BA$21:$BA$23, 0) - 1)*4, 0)</f>
        <v>0</v>
      </c>
      <c r="AU16" s="48">
        <f>IFERROR(#REF!/2 + IF(J16&lt;0.75, 0, 4), 0)</f>
        <v>0</v>
      </c>
      <c r="AV16" s="48" t="str" cm="1">
        <f t="array" ref="AV16">IF($AU16&gt;0, INDEX($BA$12:$BP$19, $AU16, $AT16+AV$11), "-")</f>
        <v>-</v>
      </c>
      <c r="AW16" s="48" t="str" cm="1">
        <f t="array" ref="AW16">IF($AU16&gt;0, INDEX($BA$12:$BP$19, $AU16, $AT16+AW$11), "-")</f>
        <v>-</v>
      </c>
      <c r="AX16" s="48" t="str" cm="1">
        <f t="array" ref="AX16">IF($AU16&gt;0, INDEX($BA$12:$BP$19, $AU16, $AT16+AX$11), "-")</f>
        <v>-</v>
      </c>
      <c r="AY16" s="48" t="str" cm="1">
        <f t="array" ref="AY16">IF($AU16&gt;0, INDEX($BA$12:$BP$19, $AU16, $AT16+AY$11), "-")</f>
        <v>-</v>
      </c>
      <c r="AZ16" s="42">
        <v>2</v>
      </c>
      <c r="BA16" s="51">
        <v>0.52339999999999998</v>
      </c>
      <c r="BB16" s="51">
        <v>-5.0499000000000001</v>
      </c>
      <c r="BC16" s="51">
        <v>17.417999999999999</v>
      </c>
      <c r="BD16" s="51">
        <v>74.317099999999996</v>
      </c>
      <c r="BE16" s="51">
        <v>0.29720000000000002</v>
      </c>
      <c r="BF16" s="51">
        <v>-3.3454000000000002</v>
      </c>
      <c r="BG16" s="51">
        <v>13.065099999999999</v>
      </c>
      <c r="BH16" s="51">
        <v>79.076999999999998</v>
      </c>
      <c r="BI16" s="51">
        <v>0.3569</v>
      </c>
      <c r="BJ16" s="51">
        <v>-3.3075999999999999</v>
      </c>
      <c r="BK16" s="51">
        <v>11.610799999999999</v>
      </c>
      <c r="BL16" s="51">
        <v>82.250299999999996</v>
      </c>
      <c r="BM16" s="51">
        <v>0.34</v>
      </c>
      <c r="BN16" s="51">
        <v>-3.0478999999999998</v>
      </c>
      <c r="BO16" s="51">
        <v>10.292999999999999</v>
      </c>
      <c r="BP16" s="51">
        <v>84.820800000000006</v>
      </c>
      <c r="BQ16" s="47">
        <v>5</v>
      </c>
    </row>
    <row r="17" spans="1:69" s="91" customFormat="1" x14ac:dyDescent="0.2">
      <c r="A17" s="33" cm="1">
        <f t="array" ref="A17">IFERROR(INDEX(Operation, IFERROR(MATCH(#REF!, Y!$B$40:$B$51, 0), IFERROR(MATCH(#REF!, Y!$C$40:$C$51, 0), MATCH(#REF!, Y!$D$40:$D$51, 0))), 4), 0)</f>
        <v>0</v>
      </c>
      <c r="B17" s="105">
        <v>6</v>
      </c>
      <c r="C17" s="7"/>
      <c r="D17" s="7"/>
      <c r="E17" s="30"/>
      <c r="F17" s="8" t="str">
        <f>IF(ISBLANK(E17), "", VLOOKUP(E17, Z!$A$2:$C$4127, 3, FALSE))</f>
        <v/>
      </c>
      <c r="G17" s="60"/>
      <c r="H17" s="124"/>
      <c r="I17" s="34"/>
      <c r="J17" s="40"/>
      <c r="K17" s="41"/>
      <c r="L17" s="40"/>
      <c r="M17" s="31">
        <f t="shared" si="7"/>
        <v>0</v>
      </c>
      <c r="N17" s="126"/>
      <c r="O17" s="7"/>
      <c r="P17" s="61"/>
      <c r="Q17" s="35"/>
      <c r="R17" s="40"/>
      <c r="S17" s="31">
        <f t="shared" si="8"/>
        <v>0</v>
      </c>
      <c r="T17" s="6"/>
      <c r="U17" s="7"/>
      <c r="V17" s="30"/>
      <c r="W17" s="8" t="str">
        <f>IF(ISBLANK(V17), "", VLOOKUP(V17, Z!$A$2:$C$4127, 3, FALSE))</f>
        <v/>
      </c>
      <c r="X17" s="36"/>
      <c r="Y17" s="87">
        <f t="shared" si="9"/>
        <v>0</v>
      </c>
      <c r="Z17" s="21"/>
      <c r="AA17" s="106">
        <f>IFERROR(120*50/#REF!, 0)</f>
        <v>0</v>
      </c>
      <c r="AB17" s="106">
        <f>IFERROR(VLOOKUP($G17, Y!$F$2:$I$10, 4, FALSE), 0)</f>
        <v>0</v>
      </c>
      <c r="AC17" s="107">
        <f>IFERROR(VLOOKUP($G17, Y!$F$2:$I$10, 4, FALSE) * SQRT(H17/3600)/(I17/#REF!)^0.75, 0)</f>
        <v>0</v>
      </c>
      <c r="AD17" s="108">
        <f>IFERROR((88.59*LN(AC17) + 13.46*LN(H17) - 11.48*LN(AC17)^2 -0.85*LN(H17)^2 - 0.38*LN(AC17)*LN(H17) - VLOOKUP(G17,Y!$F$2:$H$10, 2, FALSE) ) / 100, 0)</f>
        <v>0</v>
      </c>
      <c r="AE17" s="109">
        <f t="shared" si="0"/>
        <v>0</v>
      </c>
      <c r="AF17" s="109">
        <f t="shared" si="10"/>
        <v>0</v>
      </c>
      <c r="AG17" s="110">
        <f t="shared" si="1"/>
        <v>0</v>
      </c>
      <c r="AH17" s="111">
        <f t="shared" si="2"/>
        <v>0</v>
      </c>
      <c r="AI17" s="25"/>
      <c r="AJ17" s="108">
        <f>IFERROR(#REF!*#REF!^2 /(#REF!/AA17)^2 +#REF! *#REF! /(#REF!/AA17), 0)</f>
        <v>0</v>
      </c>
      <c r="AK17" s="112">
        <f t="shared" si="3"/>
        <v>0</v>
      </c>
      <c r="AL17" s="112">
        <f t="shared" si="11"/>
        <v>0</v>
      </c>
      <c r="AM17" s="110">
        <f t="shared" si="4"/>
        <v>0</v>
      </c>
      <c r="AN17" s="109">
        <f t="shared" si="12"/>
        <v>0</v>
      </c>
      <c r="AO17" s="25"/>
      <c r="AP17" s="80">
        <f t="shared" si="5"/>
        <v>0</v>
      </c>
      <c r="AQ17" s="80">
        <f t="shared" si="13"/>
        <v>0.25</v>
      </c>
      <c r="AR17" s="25"/>
      <c r="AS17" s="66">
        <f t="shared" si="6"/>
        <v>1</v>
      </c>
      <c r="AT17" s="50">
        <f>IFERROR((MATCH(#REF!, $BA$21:$BA$23, 0) - 1)*4, 0)</f>
        <v>0</v>
      </c>
      <c r="AU17" s="48">
        <f>IFERROR(#REF!/2 + IF(J17&lt;0.75, 0, 4), 0)</f>
        <v>0</v>
      </c>
      <c r="AV17" s="48" t="str" cm="1">
        <f t="array" ref="AV17">IF($AU17&gt;0, INDEX($BA$12:$BP$19, $AU17, $AT17+AV$11), "-")</f>
        <v>-</v>
      </c>
      <c r="AW17" s="48" t="str" cm="1">
        <f t="array" ref="AW17">IF($AU17&gt;0, INDEX($BA$12:$BP$19, $AU17, $AT17+AW$11), "-")</f>
        <v>-</v>
      </c>
      <c r="AX17" s="48" t="str" cm="1">
        <f t="array" ref="AX17">IF($AU17&gt;0, INDEX($BA$12:$BP$19, $AU17, $AT17+AX$11), "-")</f>
        <v>-</v>
      </c>
      <c r="AY17" s="48" t="str" cm="1">
        <f t="array" ref="AY17">IF($AU17&gt;0, INDEX($BA$12:$BP$19, $AU17, $AT17+AY$11), "-")</f>
        <v>-</v>
      </c>
      <c r="AZ17" s="42">
        <v>4</v>
      </c>
      <c r="BA17" s="51">
        <v>0.52339999999999998</v>
      </c>
      <c r="BB17" s="51">
        <v>-5.0499000000000001</v>
      </c>
      <c r="BC17" s="51">
        <v>17.417999999999999</v>
      </c>
      <c r="BD17" s="51">
        <v>74.317099999999996</v>
      </c>
      <c r="BE17" s="51">
        <v>2.7799999999999998E-2</v>
      </c>
      <c r="BF17" s="51">
        <v>-1.9247000000000001</v>
      </c>
      <c r="BG17" s="51">
        <v>10.439500000000001</v>
      </c>
      <c r="BH17" s="51">
        <v>80.976100000000002</v>
      </c>
      <c r="BI17" s="51">
        <v>7.7299999999999994E-2</v>
      </c>
      <c r="BJ17" s="51">
        <v>-1.8951</v>
      </c>
      <c r="BK17" s="51">
        <v>9.2984000000000009</v>
      </c>
      <c r="BL17" s="51">
        <v>83.702500000000001</v>
      </c>
      <c r="BM17" s="51">
        <v>0.2412</v>
      </c>
      <c r="BN17" s="51">
        <v>-2.3607999999999998</v>
      </c>
      <c r="BO17" s="51">
        <v>8.4459999999999997</v>
      </c>
      <c r="BP17" s="51">
        <v>86.832099999999997</v>
      </c>
      <c r="BQ17" s="47">
        <v>6</v>
      </c>
    </row>
    <row r="18" spans="1:69" s="91" customFormat="1" x14ac:dyDescent="0.2">
      <c r="A18" s="33" cm="1">
        <f t="array" ref="A18">IFERROR(INDEX(Operation, IFERROR(MATCH(#REF!, Y!$B$40:$B$51, 0), IFERROR(MATCH(#REF!, Y!$C$40:$C$51, 0), MATCH(#REF!, Y!$D$40:$D$51, 0))), 4), 0)</f>
        <v>0</v>
      </c>
      <c r="B18" s="105">
        <v>7</v>
      </c>
      <c r="C18" s="7"/>
      <c r="D18" s="7"/>
      <c r="E18" s="30"/>
      <c r="F18" s="8" t="str">
        <f>IF(ISBLANK(E18), "", VLOOKUP(E18, Z!$A$2:$C$4127, 3, FALSE))</f>
        <v/>
      </c>
      <c r="G18" s="60"/>
      <c r="H18" s="124"/>
      <c r="I18" s="34"/>
      <c r="J18" s="40"/>
      <c r="K18" s="41"/>
      <c r="L18" s="40"/>
      <c r="M18" s="31">
        <f t="shared" si="7"/>
        <v>0</v>
      </c>
      <c r="N18" s="7"/>
      <c r="O18" s="7"/>
      <c r="P18" s="61"/>
      <c r="Q18" s="35"/>
      <c r="R18" s="40"/>
      <c r="S18" s="31">
        <f t="shared" si="8"/>
        <v>0</v>
      </c>
      <c r="T18" s="6"/>
      <c r="U18" s="7"/>
      <c r="V18" s="30"/>
      <c r="W18" s="8" t="str">
        <f>IF(ISBLANK(V18), "", VLOOKUP(V18, Z!$A$2:$C$4127, 3, FALSE))</f>
        <v/>
      </c>
      <c r="X18" s="36"/>
      <c r="Y18" s="87">
        <f t="shared" si="9"/>
        <v>0</v>
      </c>
      <c r="Z18" s="21"/>
      <c r="AA18" s="106">
        <f>IFERROR(120*50/#REF!, 0)</f>
        <v>0</v>
      </c>
      <c r="AB18" s="106">
        <f>IFERROR(VLOOKUP($G18, Y!$F$2:$I$10, 4, FALSE), 0)</f>
        <v>0</v>
      </c>
      <c r="AC18" s="107">
        <f>IFERROR(VLOOKUP($G18, Y!$F$2:$I$10, 4, FALSE) * SQRT(H18/3600)/(I18/#REF!)^0.75, 0)</f>
        <v>0</v>
      </c>
      <c r="AD18" s="108">
        <f>IFERROR((88.59*LN(AC18) + 13.46*LN(H18) - 11.48*LN(AC18)^2 -0.85*LN(H18)^2 - 0.38*LN(AC18)*LN(H18) - VLOOKUP(G18,Y!$F$2:$H$10, 2, FALSE) ) / 100, 0)</f>
        <v>0</v>
      </c>
      <c r="AE18" s="109">
        <f t="shared" si="0"/>
        <v>0</v>
      </c>
      <c r="AF18" s="109">
        <f t="shared" si="10"/>
        <v>0</v>
      </c>
      <c r="AG18" s="110">
        <f t="shared" si="1"/>
        <v>0</v>
      </c>
      <c r="AH18" s="111">
        <f t="shared" si="2"/>
        <v>0</v>
      </c>
      <c r="AI18" s="25"/>
      <c r="AJ18" s="108">
        <f>IFERROR(#REF!*#REF!^2 /(#REF!/AA18)^2 +#REF! *#REF! /(#REF!/AA18), 0)</f>
        <v>0</v>
      </c>
      <c r="AK18" s="112">
        <f t="shared" si="3"/>
        <v>0</v>
      </c>
      <c r="AL18" s="112">
        <f t="shared" si="11"/>
        <v>0</v>
      </c>
      <c r="AM18" s="110">
        <f t="shared" si="4"/>
        <v>0</v>
      </c>
      <c r="AN18" s="109">
        <f t="shared" si="12"/>
        <v>0</v>
      </c>
      <c r="AO18" s="25"/>
      <c r="AP18" s="80">
        <f t="shared" si="5"/>
        <v>0</v>
      </c>
      <c r="AQ18" s="80">
        <f t="shared" si="13"/>
        <v>0.25</v>
      </c>
      <c r="AR18" s="25"/>
      <c r="AS18" s="66">
        <f t="shared" si="6"/>
        <v>1</v>
      </c>
      <c r="AT18" s="50">
        <f>IFERROR((MATCH(#REF!, $BA$21:$BA$23, 0) - 1)*4, 0)</f>
        <v>0</v>
      </c>
      <c r="AU18" s="48">
        <f>IFERROR(#REF!/2 + IF(J18&lt;0.75, 0, 4), 0)</f>
        <v>0</v>
      </c>
      <c r="AV18" s="48" t="str" cm="1">
        <f t="array" ref="AV18">IF($AU18&gt;0, INDEX($BA$12:$BP$19, $AU18, $AT18+AV$11), "-")</f>
        <v>-</v>
      </c>
      <c r="AW18" s="48" t="str" cm="1">
        <f t="array" ref="AW18">IF($AU18&gt;0, INDEX($BA$12:$BP$19, $AU18, $AT18+AW$11), "-")</f>
        <v>-</v>
      </c>
      <c r="AX18" s="48" t="str" cm="1">
        <f t="array" ref="AX18">IF($AU18&gt;0, INDEX($BA$12:$BP$19, $AU18, $AT18+AX$11), "-")</f>
        <v>-</v>
      </c>
      <c r="AY18" s="48" t="str" cm="1">
        <f t="array" ref="AY18">IF($AU18&gt;0, INDEX($BA$12:$BP$19, $AU18, $AT18+AY$11), "-")</f>
        <v>-</v>
      </c>
      <c r="AZ18" s="42">
        <v>6</v>
      </c>
      <c r="BA18" s="51">
        <v>7.8600000000000003E-2</v>
      </c>
      <c r="BB18" s="51">
        <v>-3.5838000000000001</v>
      </c>
      <c r="BC18" s="51">
        <v>17.291799999999999</v>
      </c>
      <c r="BD18" s="51">
        <v>72.238299999999995</v>
      </c>
      <c r="BE18" s="51">
        <v>1.4800000000000001E-2</v>
      </c>
      <c r="BF18" s="51">
        <v>-2.4977999999999998</v>
      </c>
      <c r="BG18" s="51">
        <v>13.247</v>
      </c>
      <c r="BH18" s="51">
        <v>77.560299999999998</v>
      </c>
      <c r="BI18" s="51">
        <v>0.12520000000000001</v>
      </c>
      <c r="BJ18" s="51">
        <v>-2.613</v>
      </c>
      <c r="BK18" s="51">
        <v>11.9963</v>
      </c>
      <c r="BL18" s="51">
        <v>80.476900000000001</v>
      </c>
      <c r="BM18" s="51">
        <v>0.35980000000000001</v>
      </c>
      <c r="BN18" s="51">
        <v>-3.2107000000000001</v>
      </c>
      <c r="BO18" s="51">
        <v>10.7933</v>
      </c>
      <c r="BP18" s="51">
        <v>84.106999999999999</v>
      </c>
      <c r="BQ18" s="47">
        <v>7</v>
      </c>
    </row>
    <row r="19" spans="1:69" s="91" customFormat="1" x14ac:dyDescent="0.2">
      <c r="A19" s="33" cm="1">
        <f t="array" ref="A19">IFERROR(INDEX(Operation, IFERROR(MATCH(#REF!, Y!$B$40:$B$51, 0), IFERROR(MATCH(#REF!, Y!$C$40:$C$51, 0), MATCH(#REF!, Y!$D$40:$D$51, 0))), 4), 0)</f>
        <v>0</v>
      </c>
      <c r="B19" s="105">
        <v>8</v>
      </c>
      <c r="C19" s="7"/>
      <c r="D19" s="7"/>
      <c r="E19" s="30"/>
      <c r="F19" s="8" t="str">
        <f>IF(ISBLANK(E19), "", VLOOKUP(E19, Z!$A$2:$C$4127, 3, FALSE))</f>
        <v/>
      </c>
      <c r="G19" s="60"/>
      <c r="H19" s="124"/>
      <c r="I19" s="34"/>
      <c r="J19" s="40"/>
      <c r="K19" s="41"/>
      <c r="L19" s="40"/>
      <c r="M19" s="31">
        <f t="shared" si="7"/>
        <v>0</v>
      </c>
      <c r="N19" s="7"/>
      <c r="O19" s="7"/>
      <c r="P19" s="61"/>
      <c r="Q19" s="35"/>
      <c r="R19" s="40"/>
      <c r="S19" s="31">
        <f t="shared" si="8"/>
        <v>0</v>
      </c>
      <c r="T19" s="6"/>
      <c r="U19" s="7"/>
      <c r="V19" s="30"/>
      <c r="W19" s="8" t="str">
        <f>IF(ISBLANK(V19), "", VLOOKUP(V19, Z!$A$2:$C$4127, 3, FALSE))</f>
        <v/>
      </c>
      <c r="X19" s="36"/>
      <c r="Y19" s="87">
        <f t="shared" si="9"/>
        <v>0</v>
      </c>
      <c r="Z19" s="21"/>
      <c r="AA19" s="106">
        <f>IFERROR(120*50/#REF!, 0)</f>
        <v>0</v>
      </c>
      <c r="AB19" s="106">
        <f>IFERROR(VLOOKUP($G19, Y!$F$2:$I$10, 4, FALSE), 0)</f>
        <v>0</v>
      </c>
      <c r="AC19" s="107">
        <f>IFERROR(VLOOKUP($G19, Y!$F$2:$I$10, 4, FALSE) * SQRT(H19/3600)/(I19/#REF!)^0.75, 0)</f>
        <v>0</v>
      </c>
      <c r="AD19" s="108">
        <f>IFERROR((88.59*LN(AC19) + 13.46*LN(H19) - 11.48*LN(AC19)^2 -0.85*LN(H19)^2 - 0.38*LN(AC19)*LN(H19) - VLOOKUP(G19,Y!$F$2:$H$10, 2, FALSE) ) / 100, 0)</f>
        <v>0</v>
      </c>
      <c r="AE19" s="109">
        <f t="shared" si="0"/>
        <v>0</v>
      </c>
      <c r="AF19" s="109">
        <f t="shared" si="10"/>
        <v>0</v>
      </c>
      <c r="AG19" s="110">
        <f t="shared" si="1"/>
        <v>0</v>
      </c>
      <c r="AH19" s="111">
        <f t="shared" si="2"/>
        <v>0</v>
      </c>
      <c r="AI19" s="25"/>
      <c r="AJ19" s="108">
        <f>IFERROR(#REF!*#REF!^2 /(#REF!/AA19)^2 +#REF! *#REF! /(#REF!/AA19), 0)</f>
        <v>0</v>
      </c>
      <c r="AK19" s="112">
        <f t="shared" si="3"/>
        <v>0</v>
      </c>
      <c r="AL19" s="112">
        <f t="shared" si="11"/>
        <v>0</v>
      </c>
      <c r="AM19" s="110">
        <f t="shared" si="4"/>
        <v>0</v>
      </c>
      <c r="AN19" s="109">
        <f t="shared" si="12"/>
        <v>0</v>
      </c>
      <c r="AO19" s="25"/>
      <c r="AP19" s="80">
        <f t="shared" si="5"/>
        <v>0</v>
      </c>
      <c r="AQ19" s="80">
        <f t="shared" si="13"/>
        <v>0.25</v>
      </c>
      <c r="AR19" s="25"/>
      <c r="AS19" s="66">
        <f t="shared" si="6"/>
        <v>1</v>
      </c>
      <c r="AT19" s="50">
        <f>IFERROR((MATCH(#REF!, $BA$21:$BA$23, 0) - 1)*4, 0)</f>
        <v>0</v>
      </c>
      <c r="AU19" s="48">
        <f>IFERROR(#REF!/2 + IF(J19&lt;0.75, 0, 4), 0)</f>
        <v>0</v>
      </c>
      <c r="AV19" s="48" t="str" cm="1">
        <f t="array" ref="AV19">IF($AU19&gt;0, INDEX($BA$12:$BP$19, $AU19, $AT19+AV$11), "-")</f>
        <v>-</v>
      </c>
      <c r="AW19" s="48" t="str" cm="1">
        <f t="array" ref="AW19">IF($AU19&gt;0, INDEX($BA$12:$BP$19, $AU19, $AT19+AW$11), "-")</f>
        <v>-</v>
      </c>
      <c r="AX19" s="48" t="str" cm="1">
        <f t="array" ref="AX19">IF($AU19&gt;0, INDEX($BA$12:$BP$19, $AU19, $AT19+AX$11), "-")</f>
        <v>-</v>
      </c>
      <c r="AY19" s="48" t="str" cm="1">
        <f t="array" ref="AY19">IF($AU19&gt;0, INDEX($BA$12:$BP$19, $AU19, $AT19+AY$11), "-")</f>
        <v>-</v>
      </c>
      <c r="AZ19" s="42">
        <v>8</v>
      </c>
      <c r="BA19" s="51">
        <v>2.4432999999999998</v>
      </c>
      <c r="BB19" s="51">
        <v>-13.8</v>
      </c>
      <c r="BC19" s="51">
        <v>30.655999999999999</v>
      </c>
      <c r="BD19" s="51">
        <v>65.238</v>
      </c>
      <c r="BE19" s="51">
        <v>2.1311</v>
      </c>
      <c r="BF19" s="51">
        <v>-12.029</v>
      </c>
      <c r="BG19" s="51">
        <v>26.719000000000001</v>
      </c>
      <c r="BH19" s="51">
        <v>69.734999999999999</v>
      </c>
      <c r="BI19" s="51">
        <v>0.71889999999999998</v>
      </c>
      <c r="BJ19" s="51">
        <v>-5.1677999999999997</v>
      </c>
      <c r="BK19" s="51">
        <v>15.705</v>
      </c>
      <c r="BL19" s="51">
        <v>77.073999999999998</v>
      </c>
      <c r="BM19" s="51">
        <v>0.65559999999999996</v>
      </c>
      <c r="BN19" s="51">
        <v>-4.7229000000000001</v>
      </c>
      <c r="BO19" s="51">
        <v>13.977</v>
      </c>
      <c r="BP19" s="51">
        <v>80.247</v>
      </c>
      <c r="BQ19" s="47">
        <v>8</v>
      </c>
    </row>
    <row r="20" spans="1:69" s="91" customFormat="1" x14ac:dyDescent="0.2">
      <c r="A20" s="33" cm="1">
        <f t="array" ref="A20">IFERROR(INDEX(Operation, IFERROR(MATCH(#REF!, Y!$B$40:$B$51, 0), IFERROR(MATCH(#REF!, Y!$C$40:$C$51, 0), MATCH(#REF!, Y!$D$40:$D$51, 0))), 4), 0)</f>
        <v>0</v>
      </c>
      <c r="B20" s="105">
        <v>9</v>
      </c>
      <c r="C20" s="7"/>
      <c r="D20" s="7"/>
      <c r="E20" s="30"/>
      <c r="F20" s="8" t="str">
        <f>IF(ISBLANK(E20), "", VLOOKUP(E20, Z!$A$2:$C$4127, 3, FALSE))</f>
        <v/>
      </c>
      <c r="G20" s="60"/>
      <c r="H20" s="124"/>
      <c r="I20" s="34"/>
      <c r="J20" s="40"/>
      <c r="K20" s="41"/>
      <c r="L20" s="40"/>
      <c r="M20" s="31">
        <f t="shared" si="7"/>
        <v>0</v>
      </c>
      <c r="N20" s="7"/>
      <c r="O20" s="7"/>
      <c r="P20" s="61"/>
      <c r="Q20" s="35"/>
      <c r="R20" s="40"/>
      <c r="S20" s="31">
        <f t="shared" si="8"/>
        <v>0</v>
      </c>
      <c r="T20" s="6"/>
      <c r="U20" s="7"/>
      <c r="V20" s="30"/>
      <c r="W20" s="8" t="str">
        <f>IF(ISBLANK(V20), "", VLOOKUP(V20, Z!$A$2:$C$4127, 3, FALSE))</f>
        <v/>
      </c>
      <c r="X20" s="36"/>
      <c r="Y20" s="87">
        <f t="shared" si="9"/>
        <v>0</v>
      </c>
      <c r="Z20" s="21"/>
      <c r="AA20" s="106">
        <f>IFERROR(120*50/#REF!, 0)</f>
        <v>0</v>
      </c>
      <c r="AB20" s="106">
        <f>IFERROR(VLOOKUP($G20, Y!$F$2:$I$10, 4, FALSE), 0)</f>
        <v>0</v>
      </c>
      <c r="AC20" s="107">
        <f>IFERROR(VLOOKUP($G20, Y!$F$2:$I$10, 4, FALSE) * SQRT(H20/3600)/(I20/#REF!)^0.75, 0)</f>
        <v>0</v>
      </c>
      <c r="AD20" s="108">
        <f>IFERROR((88.59*LN(AC20) + 13.46*LN(H20) - 11.48*LN(AC20)^2 -0.85*LN(H20)^2 - 0.38*LN(AC20)*LN(H20) - VLOOKUP(G20,Y!$F$2:$H$10, 2, FALSE) ) / 100, 0)</f>
        <v>0</v>
      </c>
      <c r="AE20" s="109">
        <f t="shared" si="0"/>
        <v>0</v>
      </c>
      <c r="AF20" s="109">
        <f t="shared" si="10"/>
        <v>0</v>
      </c>
      <c r="AG20" s="110">
        <f t="shared" si="1"/>
        <v>0</v>
      </c>
      <c r="AH20" s="111">
        <f t="shared" si="2"/>
        <v>0</v>
      </c>
      <c r="AI20" s="25"/>
      <c r="AJ20" s="108">
        <f>IFERROR(#REF!*#REF!^2 /(#REF!/AA20)^2 +#REF! *#REF! /(#REF!/AA20), 0)</f>
        <v>0</v>
      </c>
      <c r="AK20" s="112">
        <f t="shared" si="3"/>
        <v>0</v>
      </c>
      <c r="AL20" s="112">
        <f t="shared" si="11"/>
        <v>0</v>
      </c>
      <c r="AM20" s="110">
        <f t="shared" si="4"/>
        <v>0</v>
      </c>
      <c r="AN20" s="109">
        <f t="shared" si="12"/>
        <v>0</v>
      </c>
      <c r="AO20" s="25"/>
      <c r="AP20" s="80">
        <f t="shared" si="5"/>
        <v>0</v>
      </c>
      <c r="AQ20" s="80">
        <f t="shared" si="13"/>
        <v>0.25</v>
      </c>
      <c r="AR20" s="25"/>
      <c r="AS20" s="66">
        <f t="shared" si="6"/>
        <v>1</v>
      </c>
      <c r="AT20" s="50">
        <f>IFERROR((MATCH(#REF!, $BA$21:$BA$23, 0) - 1)*4, 0)</f>
        <v>0</v>
      </c>
      <c r="AU20" s="48">
        <f>IFERROR(#REF!/2 + IF(J20&lt;0.75, 0, 4), 0)</f>
        <v>0</v>
      </c>
      <c r="AV20" s="48" t="str" cm="1">
        <f t="array" ref="AV20">IF($AU20&gt;0, INDEX($BA$12:$BP$19, $AU20, $AT20+AV$11), "-")</f>
        <v>-</v>
      </c>
      <c r="AW20" s="48" t="str" cm="1">
        <f t="array" ref="AW20">IF($AU20&gt;0, INDEX($BA$12:$BP$19, $AU20, $AT20+AW$11), "-")</f>
        <v>-</v>
      </c>
      <c r="AX20" s="48" t="str" cm="1">
        <f t="array" ref="AX20">IF($AU20&gt;0, INDEX($BA$12:$BP$19, $AU20, $AT20+AX$11), "-")</f>
        <v>-</v>
      </c>
      <c r="AY20" s="48" t="str" cm="1">
        <f t="array" ref="AY20">IF($AU20&gt;0, INDEX($BA$12:$BP$19, $AU20, $AT20+AY$11), "-")</f>
        <v>-</v>
      </c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N20" s="44"/>
      <c r="BO20" s="44"/>
      <c r="BP20" s="44"/>
      <c r="BQ20" s="44"/>
    </row>
    <row r="21" spans="1:69" s="91" customFormat="1" x14ac:dyDescent="0.2">
      <c r="A21" s="33" cm="1">
        <f t="array" ref="A21">IFERROR(INDEX(Operation, IFERROR(MATCH(#REF!, Y!$B$40:$B$51, 0), IFERROR(MATCH(#REF!, Y!$C$40:$C$51, 0), MATCH(#REF!, Y!$D$40:$D$51, 0))), 4), 0)</f>
        <v>0</v>
      </c>
      <c r="B21" s="105">
        <v>10</v>
      </c>
      <c r="C21" s="7"/>
      <c r="D21" s="7"/>
      <c r="E21" s="30"/>
      <c r="F21" s="8" t="str">
        <f>IF(ISBLANK(E21), "", VLOOKUP(E21, Z!$A$2:$C$4127, 3, FALSE))</f>
        <v/>
      </c>
      <c r="G21" s="60"/>
      <c r="H21" s="124"/>
      <c r="I21" s="34"/>
      <c r="J21" s="40"/>
      <c r="K21" s="41"/>
      <c r="L21" s="40"/>
      <c r="M21" s="31">
        <f t="shared" si="7"/>
        <v>0</v>
      </c>
      <c r="N21" s="7"/>
      <c r="O21" s="7"/>
      <c r="P21" s="61"/>
      <c r="Q21" s="35"/>
      <c r="R21" s="40"/>
      <c r="S21" s="31">
        <f t="shared" si="8"/>
        <v>0</v>
      </c>
      <c r="T21" s="6"/>
      <c r="U21" s="7"/>
      <c r="V21" s="30"/>
      <c r="W21" s="8" t="str">
        <f>IF(ISBLANK(V21), "", VLOOKUP(V21, Z!$A$2:$C$4127, 3, FALSE))</f>
        <v/>
      </c>
      <c r="X21" s="36"/>
      <c r="Y21" s="87">
        <f t="shared" si="9"/>
        <v>0</v>
      </c>
      <c r="Z21" s="21"/>
      <c r="AA21" s="106">
        <f>IFERROR(120*50/#REF!, 0)</f>
        <v>0</v>
      </c>
      <c r="AB21" s="106">
        <f>IFERROR(VLOOKUP($G21, Y!$F$2:$I$10, 4, FALSE), 0)</f>
        <v>0</v>
      </c>
      <c r="AC21" s="107">
        <f>IFERROR(VLOOKUP($G21, Y!$F$2:$I$10, 4, FALSE) * SQRT(H21/3600)/(I21/#REF!)^0.75, 0)</f>
        <v>0</v>
      </c>
      <c r="AD21" s="108">
        <f>IFERROR((88.59*LN(AC21) + 13.46*LN(H21) - 11.48*LN(AC21)^2 -0.85*LN(H21)^2 - 0.38*LN(AC21)*LN(H21) - VLOOKUP(G21,Y!$F$2:$H$10, 2, FALSE) ) / 100, 0)</f>
        <v>0</v>
      </c>
      <c r="AE21" s="109">
        <f t="shared" si="0"/>
        <v>0</v>
      </c>
      <c r="AF21" s="109">
        <f t="shared" si="10"/>
        <v>0</v>
      </c>
      <c r="AG21" s="110">
        <f t="shared" si="1"/>
        <v>0</v>
      </c>
      <c r="AH21" s="111">
        <f t="shared" si="2"/>
        <v>0</v>
      </c>
      <c r="AI21" s="25"/>
      <c r="AJ21" s="108">
        <f>IFERROR(#REF!*#REF!^2 /(#REF!/AA21)^2 +#REF! *#REF! /(#REF!/AA21), 0)</f>
        <v>0</v>
      </c>
      <c r="AK21" s="112">
        <f t="shared" si="3"/>
        <v>0</v>
      </c>
      <c r="AL21" s="112">
        <f t="shared" si="11"/>
        <v>0</v>
      </c>
      <c r="AM21" s="110">
        <f t="shared" si="4"/>
        <v>0</v>
      </c>
      <c r="AN21" s="109">
        <f t="shared" si="12"/>
        <v>0</v>
      </c>
      <c r="AO21" s="25"/>
      <c r="AP21" s="80">
        <f t="shared" si="5"/>
        <v>0</v>
      </c>
      <c r="AQ21" s="80">
        <f t="shared" si="13"/>
        <v>0.25</v>
      </c>
      <c r="AR21" s="25"/>
      <c r="AS21" s="66">
        <f t="shared" si="6"/>
        <v>1</v>
      </c>
      <c r="AT21" s="50">
        <f>IFERROR((MATCH(#REF!, $BA$21:$BA$23, 0) - 1)*4, 0)</f>
        <v>0</v>
      </c>
      <c r="AU21" s="48">
        <f>IFERROR(#REF!/2 + IF(J21&lt;0.75, 0, 4), 0)</f>
        <v>0</v>
      </c>
      <c r="AV21" s="48" t="str" cm="1">
        <f t="array" ref="AV21">IF($AU21&gt;0, INDEX($BA$12:$BP$19, $AU21, $AT21+AV$11), "-")</f>
        <v>-</v>
      </c>
      <c r="AW21" s="48" t="str" cm="1">
        <f t="array" ref="AW21">IF($AU21&gt;0, INDEX($BA$12:$BP$19, $AU21, $AT21+AW$11), "-")</f>
        <v>-</v>
      </c>
      <c r="AX21" s="48" t="str" cm="1">
        <f t="array" ref="AX21">IF($AU21&gt;0, INDEX($BA$12:$BP$19, $AU21, $AT21+AX$11), "-")</f>
        <v>-</v>
      </c>
      <c r="AY21" s="48" t="str" cm="1">
        <f t="array" ref="AY21">IF($AU21&gt;0, INDEX($BA$12:$BP$19, $AU21, $AT21+AY$11), "-")</f>
        <v>-</v>
      </c>
      <c r="AZ21" s="44"/>
      <c r="BA21" s="52" t="s">
        <v>4544</v>
      </c>
      <c r="BB21" s="52" t="s">
        <v>4537</v>
      </c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</row>
    <row r="22" spans="1:69" s="91" customFormat="1" x14ac:dyDescent="0.2">
      <c r="A22" s="33" cm="1">
        <f t="array" ref="A22">IFERROR(INDEX(Operation, IFERROR(MATCH(#REF!, Y!$B$40:$B$51, 0), IFERROR(MATCH(#REF!, Y!$C$40:$C$51, 0), MATCH(#REF!, Y!$D$40:$D$51, 0))), 4), 0)</f>
        <v>0</v>
      </c>
      <c r="B22" s="105">
        <v>11</v>
      </c>
      <c r="C22" s="7"/>
      <c r="D22" s="7"/>
      <c r="E22" s="30"/>
      <c r="F22" s="8" t="str">
        <f>IF(ISBLANK(E22), "", VLOOKUP(E22, Z!$A$2:$C$4127, 3, FALSE))</f>
        <v/>
      </c>
      <c r="G22" s="60"/>
      <c r="H22" s="124"/>
      <c r="I22" s="34"/>
      <c r="J22" s="40"/>
      <c r="K22" s="41"/>
      <c r="L22" s="40"/>
      <c r="M22" s="31">
        <f t="shared" si="7"/>
        <v>0</v>
      </c>
      <c r="N22" s="7"/>
      <c r="O22" s="7"/>
      <c r="P22" s="61"/>
      <c r="Q22" s="35"/>
      <c r="R22" s="40"/>
      <c r="S22" s="31">
        <f t="shared" si="8"/>
        <v>0</v>
      </c>
      <c r="T22" s="6"/>
      <c r="U22" s="7"/>
      <c r="V22" s="30"/>
      <c r="W22" s="8" t="str">
        <f>IF(ISBLANK(V22), "", VLOOKUP(V22, Z!$A$2:$C$4127, 3, FALSE))</f>
        <v/>
      </c>
      <c r="X22" s="36"/>
      <c r="Y22" s="87">
        <f t="shared" si="9"/>
        <v>0</v>
      </c>
      <c r="Z22" s="21"/>
      <c r="AA22" s="106">
        <f>IFERROR(120*50/#REF!, 0)</f>
        <v>0</v>
      </c>
      <c r="AB22" s="106">
        <f>IFERROR(VLOOKUP($G22, Y!$F$2:$I$10, 4, FALSE), 0)</f>
        <v>0</v>
      </c>
      <c r="AC22" s="107">
        <f>IFERROR(VLOOKUP($G22, Y!$F$2:$I$10, 4, FALSE) * SQRT(H22/3600)/(I22/#REF!)^0.75, 0)</f>
        <v>0</v>
      </c>
      <c r="AD22" s="108">
        <f>IFERROR((88.59*LN(AC22) + 13.46*LN(H22) - 11.48*LN(AC22)^2 -0.85*LN(H22)^2 - 0.38*LN(AC22)*LN(H22) - VLOOKUP(G22,Y!$F$2:$H$10, 2, FALSE) ) / 100, 0)</f>
        <v>0</v>
      </c>
      <c r="AE22" s="109">
        <f t="shared" si="0"/>
        <v>0</v>
      </c>
      <c r="AF22" s="109">
        <f t="shared" si="10"/>
        <v>0</v>
      </c>
      <c r="AG22" s="110">
        <f t="shared" si="1"/>
        <v>0</v>
      </c>
      <c r="AH22" s="111">
        <f t="shared" si="2"/>
        <v>0</v>
      </c>
      <c r="AI22" s="25"/>
      <c r="AJ22" s="108">
        <f>IFERROR(#REF!*#REF!^2 /(#REF!/AA22)^2 +#REF! *#REF! /(#REF!/AA22), 0)</f>
        <v>0</v>
      </c>
      <c r="AK22" s="112">
        <f t="shared" si="3"/>
        <v>0</v>
      </c>
      <c r="AL22" s="112">
        <f t="shared" si="11"/>
        <v>0</v>
      </c>
      <c r="AM22" s="110">
        <f t="shared" si="4"/>
        <v>0</v>
      </c>
      <c r="AN22" s="109">
        <f t="shared" si="12"/>
        <v>0</v>
      </c>
      <c r="AO22" s="25"/>
      <c r="AP22" s="80">
        <f t="shared" si="5"/>
        <v>0</v>
      </c>
      <c r="AQ22" s="80">
        <f t="shared" si="13"/>
        <v>0.25</v>
      </c>
      <c r="AR22" s="25"/>
      <c r="AS22" s="66">
        <f t="shared" si="6"/>
        <v>1</v>
      </c>
      <c r="AT22" s="50">
        <f>IFERROR((MATCH(#REF!, $BA$21:$BA$23, 0) - 1)*4, 0)</f>
        <v>0</v>
      </c>
      <c r="AU22" s="48">
        <f>IFERROR(#REF!/2 + IF(J22&lt;0.75, 0, 4), 0)</f>
        <v>0</v>
      </c>
      <c r="AV22" s="48" t="str" cm="1">
        <f t="array" ref="AV22">IF($AU22&gt;0, INDEX($BA$12:$BP$19, $AU22, $AT22+AV$11), "-")</f>
        <v>-</v>
      </c>
      <c r="AW22" s="48" t="str" cm="1">
        <f t="array" ref="AW22">IF($AU22&gt;0, INDEX($BA$12:$BP$19, $AU22, $AT22+AW$11), "-")</f>
        <v>-</v>
      </c>
      <c r="AX22" s="48" t="str" cm="1">
        <f t="array" ref="AX22">IF($AU22&gt;0, INDEX($BA$12:$BP$19, $AU22, $AT22+AX$11), "-")</f>
        <v>-</v>
      </c>
      <c r="AY22" s="48" t="str" cm="1">
        <f t="array" ref="AY22">IF($AU22&gt;0, INDEX($BA$12:$BP$19, $AU22, $AT22+AY$11), "-")</f>
        <v>-</v>
      </c>
      <c r="AZ22" s="44"/>
      <c r="BA22" s="52" t="s">
        <v>4574</v>
      </c>
      <c r="BB22" s="52" t="s">
        <v>4539</v>
      </c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</row>
    <row r="23" spans="1:69" s="91" customFormat="1" x14ac:dyDescent="0.2">
      <c r="A23" s="33" cm="1">
        <f t="array" ref="A23">IFERROR(INDEX(Operation, IFERROR(MATCH(#REF!, Y!$B$40:$B$51, 0), IFERROR(MATCH(#REF!, Y!$C$40:$C$51, 0), MATCH(#REF!, Y!$D$40:$D$51, 0))), 4), 0)</f>
        <v>0</v>
      </c>
      <c r="B23" s="105">
        <v>12</v>
      </c>
      <c r="C23" s="7"/>
      <c r="D23" s="7"/>
      <c r="E23" s="30"/>
      <c r="F23" s="8" t="str">
        <f>IF(ISBLANK(E23), "", VLOOKUP(E23, Z!$A$2:$C$4127, 3, FALSE))</f>
        <v/>
      </c>
      <c r="G23" s="60"/>
      <c r="H23" s="124"/>
      <c r="I23" s="34"/>
      <c r="J23" s="40"/>
      <c r="K23" s="41"/>
      <c r="L23" s="40"/>
      <c r="M23" s="31">
        <f t="shared" si="7"/>
        <v>0</v>
      </c>
      <c r="N23" s="7"/>
      <c r="O23" s="7"/>
      <c r="P23" s="61"/>
      <c r="Q23" s="35"/>
      <c r="R23" s="40"/>
      <c r="S23" s="31">
        <f t="shared" si="8"/>
        <v>0</v>
      </c>
      <c r="T23" s="6"/>
      <c r="U23" s="7"/>
      <c r="V23" s="30"/>
      <c r="W23" s="8" t="str">
        <f>IF(ISBLANK(V23), "", VLOOKUP(V23, Z!$A$2:$C$4127, 3, FALSE))</f>
        <v/>
      </c>
      <c r="X23" s="36"/>
      <c r="Y23" s="87">
        <f t="shared" si="9"/>
        <v>0</v>
      </c>
      <c r="Z23" s="21"/>
      <c r="AA23" s="106">
        <f>IFERROR(120*50/#REF!, 0)</f>
        <v>0</v>
      </c>
      <c r="AB23" s="106">
        <f>IFERROR(VLOOKUP($G23, Y!$F$2:$I$10, 4, FALSE), 0)</f>
        <v>0</v>
      </c>
      <c r="AC23" s="107">
        <f>IFERROR(VLOOKUP($G23, Y!$F$2:$I$10, 4, FALSE) * SQRT(H23/3600)/(I23/#REF!)^0.75, 0)</f>
        <v>0</v>
      </c>
      <c r="AD23" s="108">
        <f>IFERROR((88.59*LN(AC23) + 13.46*LN(H23) - 11.48*LN(AC23)^2 -0.85*LN(H23)^2 - 0.38*LN(AC23)*LN(H23) - VLOOKUP(G23,Y!$F$2:$H$10, 2, FALSE) ) / 100, 0)</f>
        <v>0</v>
      </c>
      <c r="AE23" s="109">
        <f t="shared" si="0"/>
        <v>0</v>
      </c>
      <c r="AF23" s="109">
        <f t="shared" si="10"/>
        <v>0</v>
      </c>
      <c r="AG23" s="110">
        <f t="shared" si="1"/>
        <v>0</v>
      </c>
      <c r="AH23" s="111">
        <f t="shared" si="2"/>
        <v>0</v>
      </c>
      <c r="AI23" s="25"/>
      <c r="AJ23" s="108">
        <f>IFERROR(#REF!*#REF!^2 /(#REF!/AA23)^2 +#REF! *#REF! /(#REF!/AA23), 0)</f>
        <v>0</v>
      </c>
      <c r="AK23" s="112">
        <f t="shared" si="3"/>
        <v>0</v>
      </c>
      <c r="AL23" s="112">
        <f t="shared" si="11"/>
        <v>0</v>
      </c>
      <c r="AM23" s="110">
        <f t="shared" si="4"/>
        <v>0</v>
      </c>
      <c r="AN23" s="109">
        <f t="shared" si="12"/>
        <v>0</v>
      </c>
      <c r="AO23" s="25"/>
      <c r="AP23" s="80">
        <f t="shared" si="5"/>
        <v>0</v>
      </c>
      <c r="AQ23" s="80">
        <f t="shared" si="13"/>
        <v>0.25</v>
      </c>
      <c r="AR23" s="25"/>
      <c r="AS23" s="66">
        <f t="shared" si="6"/>
        <v>1</v>
      </c>
      <c r="AT23" s="50">
        <f>IFERROR((MATCH(#REF!, $BA$21:$BA$23, 0) - 1)*4, 0)</f>
        <v>0</v>
      </c>
      <c r="AU23" s="48">
        <f>IFERROR(#REF!/2 + IF(J23&lt;0.75, 0, 4), 0)</f>
        <v>0</v>
      </c>
      <c r="AV23" s="48" t="str" cm="1">
        <f t="array" ref="AV23">IF($AU23&gt;0, INDEX($BA$12:$BP$19, $AU23, $AT23+AV$11), "-")</f>
        <v>-</v>
      </c>
      <c r="AW23" s="48" t="str" cm="1">
        <f t="array" ref="AW23">IF($AU23&gt;0, INDEX($BA$12:$BP$19, $AU23, $AT23+AW$11), "-")</f>
        <v>-</v>
      </c>
      <c r="AX23" s="48" t="str" cm="1">
        <f t="array" ref="AX23">IF($AU23&gt;0, INDEX($BA$12:$BP$19, $AU23, $AT23+AX$11), "-")</f>
        <v>-</v>
      </c>
      <c r="AY23" s="48" t="str" cm="1">
        <f t="array" ref="AY23">IF($AU23&gt;0, INDEX($BA$12:$BP$19, $AU23, $AT23+AY$11), "-")</f>
        <v>-</v>
      </c>
      <c r="AZ23" s="44"/>
      <c r="BA23" s="52" t="s">
        <v>4580</v>
      </c>
      <c r="BB23" s="52" t="s">
        <v>4541</v>
      </c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</row>
    <row r="24" spans="1:69" s="91" customFormat="1" x14ac:dyDescent="0.2">
      <c r="A24" s="33" cm="1">
        <f t="array" ref="A24">IFERROR(INDEX(Operation, IFERROR(MATCH(#REF!, Y!$B$40:$B$51, 0), IFERROR(MATCH(#REF!, Y!$C$40:$C$51, 0), MATCH(#REF!, Y!$D$40:$D$51, 0))), 4), 0)</f>
        <v>0</v>
      </c>
      <c r="B24" s="105">
        <v>13</v>
      </c>
      <c r="C24" s="7"/>
      <c r="D24" s="7"/>
      <c r="E24" s="30"/>
      <c r="F24" s="8" t="str">
        <f>IF(ISBLANK(E24), "", VLOOKUP(E24, Z!$A$2:$C$4127, 3, FALSE))</f>
        <v/>
      </c>
      <c r="G24" s="60"/>
      <c r="H24" s="124"/>
      <c r="I24" s="34"/>
      <c r="J24" s="40"/>
      <c r="K24" s="41"/>
      <c r="L24" s="40"/>
      <c r="M24" s="31">
        <f t="shared" si="7"/>
        <v>0</v>
      </c>
      <c r="N24" s="7"/>
      <c r="O24" s="7"/>
      <c r="P24" s="61"/>
      <c r="Q24" s="35"/>
      <c r="R24" s="40"/>
      <c r="S24" s="31">
        <f t="shared" si="8"/>
        <v>0</v>
      </c>
      <c r="T24" s="6"/>
      <c r="U24" s="7"/>
      <c r="V24" s="30"/>
      <c r="W24" s="8" t="str">
        <f>IF(ISBLANK(V24), "", VLOOKUP(V24, Z!$A$2:$C$4127, 3, FALSE))</f>
        <v/>
      </c>
      <c r="X24" s="36"/>
      <c r="Y24" s="87">
        <f t="shared" si="9"/>
        <v>0</v>
      </c>
      <c r="Z24" s="21"/>
      <c r="AA24" s="106">
        <f>IFERROR(120*50/#REF!, 0)</f>
        <v>0</v>
      </c>
      <c r="AB24" s="106">
        <f>IFERROR(VLOOKUP($G24, Y!$F$2:$I$10, 4, FALSE), 0)</f>
        <v>0</v>
      </c>
      <c r="AC24" s="107">
        <f>IFERROR(VLOOKUP($G24, Y!$F$2:$I$10, 4, FALSE) * SQRT(H24/3600)/(I24/#REF!)^0.75, 0)</f>
        <v>0</v>
      </c>
      <c r="AD24" s="108">
        <f>IFERROR((88.59*LN(AC24) + 13.46*LN(H24) - 11.48*LN(AC24)^2 -0.85*LN(H24)^2 - 0.38*LN(AC24)*LN(H24) - VLOOKUP(G24,Y!$F$2:$H$10, 2, FALSE) ) / 100, 0)</f>
        <v>0</v>
      </c>
      <c r="AE24" s="109">
        <f t="shared" si="0"/>
        <v>0</v>
      </c>
      <c r="AF24" s="109">
        <f t="shared" si="10"/>
        <v>0</v>
      </c>
      <c r="AG24" s="110">
        <f t="shared" si="1"/>
        <v>0</v>
      </c>
      <c r="AH24" s="111">
        <f t="shared" si="2"/>
        <v>0</v>
      </c>
      <c r="AI24" s="25"/>
      <c r="AJ24" s="108">
        <f>IFERROR(#REF!*#REF!^2 /(#REF!/AA24)^2 +#REF! *#REF! /(#REF!/AA24), 0)</f>
        <v>0</v>
      </c>
      <c r="AK24" s="112">
        <f t="shared" si="3"/>
        <v>0</v>
      </c>
      <c r="AL24" s="112">
        <f t="shared" si="11"/>
        <v>0</v>
      </c>
      <c r="AM24" s="110">
        <f t="shared" si="4"/>
        <v>0</v>
      </c>
      <c r="AN24" s="109">
        <f t="shared" si="12"/>
        <v>0</v>
      </c>
      <c r="AO24" s="25"/>
      <c r="AP24" s="80">
        <f t="shared" si="5"/>
        <v>0</v>
      </c>
      <c r="AQ24" s="80">
        <f t="shared" si="13"/>
        <v>0.25</v>
      </c>
      <c r="AR24" s="25"/>
      <c r="AS24" s="66">
        <f t="shared" si="6"/>
        <v>1</v>
      </c>
      <c r="AT24" s="50">
        <f>IFERROR((MATCH(#REF!, $BA$21:$BA$23, 0) - 1)*4, 0)</f>
        <v>0</v>
      </c>
      <c r="AU24" s="48">
        <f>IFERROR(#REF!/2 + IF(J24&lt;0.75, 0, 4), 0)</f>
        <v>0</v>
      </c>
      <c r="AV24" s="48" t="str" cm="1">
        <f t="array" ref="AV24">IF($AU24&gt;0, INDEX($BA$12:$BP$19, $AU24, $AT24+AV$11), "-")</f>
        <v>-</v>
      </c>
      <c r="AW24" s="48" t="str" cm="1">
        <f t="array" ref="AW24">IF($AU24&gt;0, INDEX($BA$12:$BP$19, $AU24, $AT24+AW$11), "-")</f>
        <v>-</v>
      </c>
      <c r="AX24" s="48" t="str" cm="1">
        <f t="array" ref="AX24">IF($AU24&gt;0, INDEX($BA$12:$BP$19, $AU24, $AT24+AX$11), "-")</f>
        <v>-</v>
      </c>
      <c r="AY24" s="48" t="str" cm="1">
        <f t="array" ref="AY24">IF($AU24&gt;0, INDEX($BA$12:$BP$19, $AU24, $AT24+AY$11), "-")</f>
        <v>-</v>
      </c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</row>
    <row r="25" spans="1:69" s="91" customFormat="1" x14ac:dyDescent="0.2">
      <c r="A25" s="33" cm="1">
        <f t="array" ref="A25">IFERROR(INDEX(Operation, IFERROR(MATCH(#REF!, Y!$B$40:$B$51, 0), IFERROR(MATCH(#REF!, Y!$C$40:$C$51, 0), MATCH(#REF!, Y!$D$40:$D$51, 0))), 4), 0)</f>
        <v>0</v>
      </c>
      <c r="B25" s="105">
        <v>14</v>
      </c>
      <c r="C25" s="7"/>
      <c r="D25" s="7"/>
      <c r="E25" s="30"/>
      <c r="F25" s="8" t="str">
        <f>IF(ISBLANK(E25), "", VLOOKUP(E25, Z!$A$2:$C$4127, 3, FALSE))</f>
        <v/>
      </c>
      <c r="G25" s="60"/>
      <c r="H25" s="124"/>
      <c r="I25" s="34"/>
      <c r="J25" s="40"/>
      <c r="K25" s="41"/>
      <c r="L25" s="40"/>
      <c r="M25" s="31">
        <f t="shared" si="7"/>
        <v>0</v>
      </c>
      <c r="N25" s="7"/>
      <c r="O25" s="7"/>
      <c r="P25" s="61"/>
      <c r="Q25" s="35"/>
      <c r="R25" s="40"/>
      <c r="S25" s="31">
        <f t="shared" si="8"/>
        <v>0</v>
      </c>
      <c r="T25" s="6"/>
      <c r="U25" s="7"/>
      <c r="V25" s="30"/>
      <c r="W25" s="8" t="str">
        <f>IF(ISBLANK(V25), "", VLOOKUP(V25, Z!$A$2:$C$4127, 3, FALSE))</f>
        <v/>
      </c>
      <c r="X25" s="36"/>
      <c r="Y25" s="87">
        <f t="shared" si="9"/>
        <v>0</v>
      </c>
      <c r="Z25" s="21"/>
      <c r="AA25" s="106">
        <f>IFERROR(120*50/#REF!, 0)</f>
        <v>0</v>
      </c>
      <c r="AB25" s="106">
        <f>IFERROR(VLOOKUP($G25, Y!$F$2:$I$10, 4, FALSE), 0)</f>
        <v>0</v>
      </c>
      <c r="AC25" s="107">
        <f>IFERROR(VLOOKUP($G25, Y!$F$2:$I$10, 4, FALSE) * SQRT(H25/3600)/(I25/#REF!)^0.75, 0)</f>
        <v>0</v>
      </c>
      <c r="AD25" s="108">
        <f>IFERROR((88.59*LN(AC25) + 13.46*LN(H25) - 11.48*LN(AC25)^2 -0.85*LN(H25)^2 - 0.38*LN(AC25)*LN(H25) - VLOOKUP(G25,Y!$F$2:$H$10, 2, FALSE) ) / 100, 0)</f>
        <v>0</v>
      </c>
      <c r="AE25" s="109">
        <f t="shared" si="0"/>
        <v>0</v>
      </c>
      <c r="AF25" s="109">
        <f t="shared" si="10"/>
        <v>0</v>
      </c>
      <c r="AG25" s="110">
        <f t="shared" si="1"/>
        <v>0</v>
      </c>
      <c r="AH25" s="111">
        <f t="shared" si="2"/>
        <v>0</v>
      </c>
      <c r="AI25" s="25"/>
      <c r="AJ25" s="108">
        <f>IFERROR(#REF!*#REF!^2 /(#REF!/AA25)^2 +#REF! *#REF! /(#REF!/AA25), 0)</f>
        <v>0</v>
      </c>
      <c r="AK25" s="112">
        <f t="shared" si="3"/>
        <v>0</v>
      </c>
      <c r="AL25" s="112">
        <f t="shared" si="11"/>
        <v>0</v>
      </c>
      <c r="AM25" s="110">
        <f t="shared" si="4"/>
        <v>0</v>
      </c>
      <c r="AN25" s="109">
        <f t="shared" si="12"/>
        <v>0</v>
      </c>
      <c r="AO25" s="25"/>
      <c r="AP25" s="80">
        <f t="shared" si="5"/>
        <v>0</v>
      </c>
      <c r="AQ25" s="80">
        <f t="shared" si="13"/>
        <v>0.25</v>
      </c>
      <c r="AR25" s="25"/>
      <c r="AS25" s="66">
        <f t="shared" si="6"/>
        <v>1</v>
      </c>
      <c r="AT25" s="50">
        <f>IFERROR((MATCH(#REF!, $BA$21:$BA$23, 0) - 1)*4, 0)</f>
        <v>0</v>
      </c>
      <c r="AU25" s="48">
        <f>IFERROR(#REF!/2 + IF(J25&lt;0.75, 0, 4), 0)</f>
        <v>0</v>
      </c>
      <c r="AV25" s="48" t="str" cm="1">
        <f t="array" ref="AV25">IF($AU25&gt;0, INDEX($BA$12:$BP$19, $AU25, $AT25+AV$11), "-")</f>
        <v>-</v>
      </c>
      <c r="AW25" s="48" t="str" cm="1">
        <f t="array" ref="AW25">IF($AU25&gt;0, INDEX($BA$12:$BP$19, $AU25, $AT25+AW$11), "-")</f>
        <v>-</v>
      </c>
      <c r="AX25" s="48" t="str" cm="1">
        <f t="array" ref="AX25">IF($AU25&gt;0, INDEX($BA$12:$BP$19, $AU25, $AT25+AX$11), "-")</f>
        <v>-</v>
      </c>
      <c r="AY25" s="48" t="str" cm="1">
        <f t="array" ref="AY25">IF($AU25&gt;0, INDEX($BA$12:$BP$19, $AU25, $AT25+AY$11), "-")</f>
        <v>-</v>
      </c>
      <c r="AZ25" s="44"/>
      <c r="BA25" s="44"/>
      <c r="BB25" s="47">
        <v>1</v>
      </c>
      <c r="BC25" s="47">
        <v>2</v>
      </c>
      <c r="BD25" s="47">
        <v>3</v>
      </c>
      <c r="BE25" s="47">
        <v>4</v>
      </c>
      <c r="BF25" s="47">
        <v>5</v>
      </c>
      <c r="BG25" s="47">
        <v>6</v>
      </c>
      <c r="BH25" s="47">
        <v>7</v>
      </c>
      <c r="BI25" s="47">
        <v>8</v>
      </c>
      <c r="BJ25" s="47">
        <v>9</v>
      </c>
      <c r="BK25" s="47">
        <v>10</v>
      </c>
      <c r="BL25" s="47">
        <v>11</v>
      </c>
      <c r="BM25" s="47">
        <v>12</v>
      </c>
      <c r="BN25" s="47">
        <v>13</v>
      </c>
      <c r="BO25" s="47">
        <v>14</v>
      </c>
      <c r="BP25" s="44"/>
      <c r="BQ25" s="44"/>
    </row>
    <row r="26" spans="1:69" s="91" customFormat="1" x14ac:dyDescent="0.2">
      <c r="A26" s="33" cm="1">
        <f t="array" ref="A26">IFERROR(INDEX(Operation, IFERROR(MATCH(#REF!, Y!$B$40:$B$51, 0), IFERROR(MATCH(#REF!, Y!$C$40:$C$51, 0), MATCH(#REF!, Y!$D$40:$D$51, 0))), 4), 0)</f>
        <v>0</v>
      </c>
      <c r="B26" s="105">
        <v>15</v>
      </c>
      <c r="C26" s="7"/>
      <c r="D26" s="7"/>
      <c r="E26" s="30"/>
      <c r="F26" s="8" t="str">
        <f>IF(ISBLANK(E26), "", VLOOKUP(E26, Z!$A$2:$C$4127, 3, FALSE))</f>
        <v/>
      </c>
      <c r="G26" s="60"/>
      <c r="H26" s="124"/>
      <c r="I26" s="34"/>
      <c r="J26" s="40"/>
      <c r="K26" s="41"/>
      <c r="L26" s="40"/>
      <c r="M26" s="31">
        <f t="shared" si="7"/>
        <v>0</v>
      </c>
      <c r="N26" s="7"/>
      <c r="O26" s="7"/>
      <c r="P26" s="61"/>
      <c r="Q26" s="35"/>
      <c r="R26" s="40"/>
      <c r="S26" s="31">
        <f t="shared" si="8"/>
        <v>0</v>
      </c>
      <c r="T26" s="6"/>
      <c r="U26" s="7"/>
      <c r="V26" s="30"/>
      <c r="W26" s="8" t="str">
        <f>IF(ISBLANK(V26), "", VLOOKUP(V26, Z!$A$2:$C$4127, 3, FALSE))</f>
        <v/>
      </c>
      <c r="X26" s="36"/>
      <c r="Y26" s="87">
        <f t="shared" si="9"/>
        <v>0</v>
      </c>
      <c r="Z26" s="21"/>
      <c r="AA26" s="106">
        <f>IFERROR(120*50/#REF!, 0)</f>
        <v>0</v>
      </c>
      <c r="AB26" s="106">
        <f>IFERROR(VLOOKUP($G26, Y!$F$2:$I$10, 4, FALSE), 0)</f>
        <v>0</v>
      </c>
      <c r="AC26" s="107">
        <f>IFERROR(VLOOKUP($G26, Y!$F$2:$I$10, 4, FALSE) * SQRT(H26/3600)/(I26/#REF!)^0.75, 0)</f>
        <v>0</v>
      </c>
      <c r="AD26" s="108">
        <f>IFERROR((88.59*LN(AC26) + 13.46*LN(H26) - 11.48*LN(AC26)^2 -0.85*LN(H26)^2 - 0.38*LN(AC26)*LN(H26) - VLOOKUP(G26,Y!$F$2:$H$10, 2, FALSE) ) / 100, 0)</f>
        <v>0</v>
      </c>
      <c r="AE26" s="109">
        <f t="shared" si="0"/>
        <v>0</v>
      </c>
      <c r="AF26" s="109">
        <f t="shared" si="10"/>
        <v>0</v>
      </c>
      <c r="AG26" s="110">
        <f t="shared" si="1"/>
        <v>0</v>
      </c>
      <c r="AH26" s="111">
        <f t="shared" si="2"/>
        <v>0</v>
      </c>
      <c r="AI26" s="25"/>
      <c r="AJ26" s="108">
        <f>IFERROR(#REF!*#REF!^2 /(#REF!/AA26)^2 +#REF! *#REF! /(#REF!/AA26), 0)</f>
        <v>0</v>
      </c>
      <c r="AK26" s="112">
        <f t="shared" si="3"/>
        <v>0</v>
      </c>
      <c r="AL26" s="112">
        <f t="shared" si="11"/>
        <v>0</v>
      </c>
      <c r="AM26" s="110">
        <f t="shared" si="4"/>
        <v>0</v>
      </c>
      <c r="AN26" s="109">
        <f t="shared" si="12"/>
        <v>0</v>
      </c>
      <c r="AO26" s="25"/>
      <c r="AP26" s="80">
        <f t="shared" si="5"/>
        <v>0</v>
      </c>
      <c r="AQ26" s="80">
        <f t="shared" si="13"/>
        <v>0.25</v>
      </c>
      <c r="AR26" s="25"/>
      <c r="AS26" s="66">
        <f t="shared" si="6"/>
        <v>1</v>
      </c>
      <c r="AT26" s="50">
        <f>IFERROR((MATCH(#REF!, $BA$21:$BA$23, 0) - 1)*4, 0)</f>
        <v>0</v>
      </c>
      <c r="AU26" s="48">
        <f>IFERROR(#REF!/2 + IF(J26&lt;0.75, 0, 4), 0)</f>
        <v>0</v>
      </c>
      <c r="AV26" s="48" t="str" cm="1">
        <f t="array" ref="AV26">IF($AU26&gt;0, INDEX($BA$12:$BP$19, $AU26, $AT26+AV$11), "-")</f>
        <v>-</v>
      </c>
      <c r="AW26" s="48" t="str" cm="1">
        <f t="array" ref="AW26">IF($AU26&gt;0, INDEX($BA$12:$BP$19, $AU26, $AT26+AW$11), "-")</f>
        <v>-</v>
      </c>
      <c r="AX26" s="48" t="str" cm="1">
        <f t="array" ref="AX26">IF($AU26&gt;0, INDEX($BA$12:$BP$19, $AU26, $AT26+AX$11), "-")</f>
        <v>-</v>
      </c>
      <c r="AY26" s="48" t="str" cm="1">
        <f t="array" ref="AY26">IF($AU26&gt;0, INDEX($BA$12:$BP$19, $AU26, $AT26+AY$11), "-")</f>
        <v>-</v>
      </c>
      <c r="AZ26" s="44"/>
      <c r="BA26" s="53" t="s">
        <v>2</v>
      </c>
      <c r="BB26" s="54">
        <v>5</v>
      </c>
      <c r="BC26" s="54">
        <v>10</v>
      </c>
      <c r="BD26" s="54">
        <v>15</v>
      </c>
      <c r="BE26" s="54">
        <v>20</v>
      </c>
      <c r="BF26" s="54">
        <v>25</v>
      </c>
      <c r="BG26" s="54">
        <v>30</v>
      </c>
      <c r="BH26" s="54">
        <v>35</v>
      </c>
      <c r="BI26" s="54">
        <v>40</v>
      </c>
      <c r="BJ26" s="54">
        <v>50</v>
      </c>
      <c r="BK26" s="54">
        <v>60</v>
      </c>
      <c r="BL26" s="54">
        <v>70</v>
      </c>
      <c r="BM26" s="54">
        <v>80</v>
      </c>
      <c r="BN26" s="54">
        <v>90</v>
      </c>
      <c r="BO26" s="54">
        <v>100</v>
      </c>
      <c r="BP26" s="44"/>
      <c r="BQ26" s="44"/>
    </row>
    <row r="27" spans="1:69" s="91" customFormat="1" x14ac:dyDescent="0.2">
      <c r="A27" s="33" cm="1">
        <f t="array" ref="A27">IFERROR(INDEX(Operation, IFERROR(MATCH(#REF!, Y!$B$40:$B$51, 0), IFERROR(MATCH(#REF!, Y!$C$40:$C$51, 0), MATCH(#REF!, Y!$D$40:$D$51, 0))), 4), 0)</f>
        <v>0</v>
      </c>
      <c r="B27" s="105">
        <v>16</v>
      </c>
      <c r="C27" s="7"/>
      <c r="D27" s="7"/>
      <c r="E27" s="30"/>
      <c r="F27" s="8" t="str">
        <f>IF(ISBLANK(E27), "", VLOOKUP(E27, Z!$A$2:$C$4127, 3, FALSE))</f>
        <v/>
      </c>
      <c r="G27" s="60"/>
      <c r="H27" s="124"/>
      <c r="I27" s="34"/>
      <c r="J27" s="40"/>
      <c r="K27" s="41"/>
      <c r="L27" s="40"/>
      <c r="M27" s="31">
        <f t="shared" si="7"/>
        <v>0</v>
      </c>
      <c r="N27" s="7"/>
      <c r="O27" s="7"/>
      <c r="P27" s="61"/>
      <c r="Q27" s="35"/>
      <c r="R27" s="40"/>
      <c r="S27" s="31">
        <f t="shared" si="8"/>
        <v>0</v>
      </c>
      <c r="T27" s="6"/>
      <c r="U27" s="7"/>
      <c r="V27" s="30"/>
      <c r="W27" s="8" t="str">
        <f>IF(ISBLANK(V27), "", VLOOKUP(V27, Z!$A$2:$C$4127, 3, FALSE))</f>
        <v/>
      </c>
      <c r="X27" s="36"/>
      <c r="Y27" s="87">
        <f t="shared" si="9"/>
        <v>0</v>
      </c>
      <c r="Z27" s="21"/>
      <c r="AA27" s="106">
        <f>IFERROR(120*50/#REF!, 0)</f>
        <v>0</v>
      </c>
      <c r="AB27" s="106">
        <f>IFERROR(VLOOKUP($G27, Y!$F$2:$I$10, 4, FALSE), 0)</f>
        <v>0</v>
      </c>
      <c r="AC27" s="107">
        <f>IFERROR(VLOOKUP($G27, Y!$F$2:$I$10, 4, FALSE) * SQRT(H27/3600)/(I27/#REF!)^0.75, 0)</f>
        <v>0</v>
      </c>
      <c r="AD27" s="108">
        <f>IFERROR((88.59*LN(AC27) + 13.46*LN(H27) - 11.48*LN(AC27)^2 -0.85*LN(H27)^2 - 0.38*LN(AC27)*LN(H27) - VLOOKUP(G27,Y!$F$2:$H$10, 2, FALSE) ) / 100, 0)</f>
        <v>0</v>
      </c>
      <c r="AE27" s="109">
        <f t="shared" si="0"/>
        <v>0</v>
      </c>
      <c r="AF27" s="109">
        <f t="shared" si="10"/>
        <v>0</v>
      </c>
      <c r="AG27" s="110">
        <f t="shared" si="1"/>
        <v>0</v>
      </c>
      <c r="AH27" s="111">
        <f t="shared" si="2"/>
        <v>0</v>
      </c>
      <c r="AI27" s="25"/>
      <c r="AJ27" s="108">
        <f>IFERROR(#REF!*#REF!^2 /(#REF!/AA27)^2 +#REF! *#REF! /(#REF!/AA27), 0)</f>
        <v>0</v>
      </c>
      <c r="AK27" s="112">
        <f t="shared" si="3"/>
        <v>0</v>
      </c>
      <c r="AL27" s="112">
        <f t="shared" si="11"/>
        <v>0</v>
      </c>
      <c r="AM27" s="110">
        <f t="shared" si="4"/>
        <v>0</v>
      </c>
      <c r="AN27" s="109">
        <f t="shared" si="12"/>
        <v>0</v>
      </c>
      <c r="AO27" s="25"/>
      <c r="AP27" s="80">
        <f t="shared" si="5"/>
        <v>0</v>
      </c>
      <c r="AQ27" s="80">
        <f t="shared" si="13"/>
        <v>0.25</v>
      </c>
      <c r="AR27" s="25"/>
      <c r="AS27" s="66">
        <f t="shared" si="6"/>
        <v>1</v>
      </c>
      <c r="AT27" s="50">
        <f>IFERROR((MATCH(#REF!, $BA$21:$BA$23, 0) - 1)*4, 0)</f>
        <v>0</v>
      </c>
      <c r="AU27" s="48">
        <f>IFERROR(#REF!/2 + IF(J27&lt;0.75, 0, 4), 0)</f>
        <v>0</v>
      </c>
      <c r="AV27" s="48" t="str" cm="1">
        <f t="array" ref="AV27">IF($AU27&gt;0, INDEX($BA$12:$BP$19, $AU27, $AT27+AV$11), "-")</f>
        <v>-</v>
      </c>
      <c r="AW27" s="48" t="str" cm="1">
        <f t="array" ref="AW27">IF($AU27&gt;0, INDEX($BA$12:$BP$19, $AU27, $AT27+AW$11), "-")</f>
        <v>-</v>
      </c>
      <c r="AX27" s="48" t="str" cm="1">
        <f t="array" ref="AX27">IF($AU27&gt;0, INDEX($BA$12:$BP$19, $AU27, $AT27+AX$11), "-")</f>
        <v>-</v>
      </c>
      <c r="AY27" s="48" t="str" cm="1">
        <f t="array" ref="AY27">IF($AU27&gt;0, INDEX($BA$12:$BP$19, $AU27, $AT27+AY$11), "-")</f>
        <v>-</v>
      </c>
      <c r="AZ27" s="44"/>
      <c r="BA27" s="55">
        <v>0</v>
      </c>
      <c r="BB27" s="53">
        <v>18.100000000000001</v>
      </c>
      <c r="BC27" s="53">
        <v>36.200000000000003</v>
      </c>
      <c r="BD27" s="53">
        <v>48.8</v>
      </c>
      <c r="BE27" s="53">
        <v>61.5</v>
      </c>
      <c r="BF27" s="53">
        <v>69.900000000000006</v>
      </c>
      <c r="BG27" s="53">
        <v>77.7</v>
      </c>
      <c r="BH27" s="53">
        <v>82.3</v>
      </c>
      <c r="BI27" s="53">
        <v>86.9</v>
      </c>
      <c r="BJ27" s="53">
        <v>91.5</v>
      </c>
      <c r="BK27" s="53">
        <v>96.2</v>
      </c>
      <c r="BL27" s="53">
        <v>97.7</v>
      </c>
      <c r="BM27" s="53">
        <v>99.2</v>
      </c>
      <c r="BN27" s="53">
        <v>99.6</v>
      </c>
      <c r="BO27" s="53">
        <v>100</v>
      </c>
      <c r="BP27" s="44"/>
      <c r="BQ27" s="44"/>
    </row>
    <row r="28" spans="1:69" s="91" customFormat="1" x14ac:dyDescent="0.2">
      <c r="A28" s="33" cm="1">
        <f t="array" ref="A28">IFERROR(INDEX(Operation, IFERROR(MATCH(#REF!, Y!$B$40:$B$51, 0), IFERROR(MATCH(#REF!, Y!$C$40:$C$51, 0), MATCH(#REF!, Y!$D$40:$D$51, 0))), 4), 0)</f>
        <v>0</v>
      </c>
      <c r="B28" s="105">
        <v>17</v>
      </c>
      <c r="C28" s="7"/>
      <c r="D28" s="7"/>
      <c r="E28" s="30"/>
      <c r="F28" s="8" t="str">
        <f>IF(ISBLANK(E28), "", VLOOKUP(E28, Z!$A$2:$C$4127, 3, FALSE))</f>
        <v/>
      </c>
      <c r="G28" s="60"/>
      <c r="H28" s="124"/>
      <c r="I28" s="34"/>
      <c r="J28" s="40"/>
      <c r="K28" s="41"/>
      <c r="L28" s="40"/>
      <c r="M28" s="31">
        <f t="shared" si="7"/>
        <v>0</v>
      </c>
      <c r="N28" s="7"/>
      <c r="O28" s="7"/>
      <c r="P28" s="61"/>
      <c r="Q28" s="35"/>
      <c r="R28" s="40"/>
      <c r="S28" s="31">
        <f t="shared" si="8"/>
        <v>0</v>
      </c>
      <c r="T28" s="6"/>
      <c r="U28" s="7"/>
      <c r="V28" s="30"/>
      <c r="W28" s="8" t="str">
        <f>IF(ISBLANK(V28), "", VLOOKUP(V28, Z!$A$2:$C$4127, 3, FALSE))</f>
        <v/>
      </c>
      <c r="X28" s="36"/>
      <c r="Y28" s="87">
        <f t="shared" si="9"/>
        <v>0</v>
      </c>
      <c r="Z28" s="21"/>
      <c r="AA28" s="106">
        <f>IFERROR(120*50/#REF!, 0)</f>
        <v>0</v>
      </c>
      <c r="AB28" s="106">
        <f>IFERROR(VLOOKUP($G28, Y!$F$2:$I$10, 4, FALSE), 0)</f>
        <v>0</v>
      </c>
      <c r="AC28" s="107">
        <f>IFERROR(VLOOKUP($G28, Y!$F$2:$I$10, 4, FALSE) * SQRT(H28/3600)/(I28/#REF!)^0.75, 0)</f>
        <v>0</v>
      </c>
      <c r="AD28" s="108">
        <f>IFERROR((88.59*LN(AC28) + 13.46*LN(H28) - 11.48*LN(AC28)^2 -0.85*LN(H28)^2 - 0.38*LN(AC28)*LN(H28) - VLOOKUP(G28,Y!$F$2:$H$10, 2, FALSE) ) / 100, 0)</f>
        <v>0</v>
      </c>
      <c r="AE28" s="109">
        <f t="shared" si="0"/>
        <v>0</v>
      </c>
      <c r="AF28" s="109">
        <f t="shared" si="10"/>
        <v>0</v>
      </c>
      <c r="AG28" s="110">
        <f t="shared" si="1"/>
        <v>0</v>
      </c>
      <c r="AH28" s="111">
        <f t="shared" si="2"/>
        <v>0</v>
      </c>
      <c r="AI28" s="25"/>
      <c r="AJ28" s="108">
        <f>IFERROR(#REF!*#REF!^2 /(#REF!/AA28)^2 +#REF! *#REF! /(#REF!/AA28), 0)</f>
        <v>0</v>
      </c>
      <c r="AK28" s="112">
        <f t="shared" si="3"/>
        <v>0</v>
      </c>
      <c r="AL28" s="112">
        <f t="shared" si="11"/>
        <v>0</v>
      </c>
      <c r="AM28" s="110">
        <f t="shared" si="4"/>
        <v>0</v>
      </c>
      <c r="AN28" s="109">
        <f t="shared" si="12"/>
        <v>0</v>
      </c>
      <c r="AO28" s="25"/>
      <c r="AP28" s="80">
        <f t="shared" si="5"/>
        <v>0</v>
      </c>
      <c r="AQ28" s="80">
        <f t="shared" si="13"/>
        <v>0.25</v>
      </c>
      <c r="AR28" s="25"/>
      <c r="AS28" s="66">
        <f t="shared" si="6"/>
        <v>1</v>
      </c>
      <c r="AT28" s="50">
        <f>IFERROR((MATCH(#REF!, $BA$21:$BA$23, 0) - 1)*4, 0)</f>
        <v>0</v>
      </c>
      <c r="AU28" s="48">
        <f>IFERROR(#REF!/2 + IF(J28&lt;0.75, 0, 4), 0)</f>
        <v>0</v>
      </c>
      <c r="AV28" s="48" t="str" cm="1">
        <f t="array" ref="AV28">IF($AU28&gt;0, INDEX($BA$12:$BP$19, $AU28, $AT28+AV$11), "-")</f>
        <v>-</v>
      </c>
      <c r="AW28" s="48" t="str" cm="1">
        <f t="array" ref="AW28">IF($AU28&gt;0, INDEX($BA$12:$BP$19, $AU28, $AT28+AW$11), "-")</f>
        <v>-</v>
      </c>
      <c r="AX28" s="48" t="str" cm="1">
        <f t="array" ref="AX28">IF($AU28&gt;0, INDEX($BA$12:$BP$19, $AU28, $AT28+AX$11), "-")</f>
        <v>-</v>
      </c>
      <c r="AY28" s="48" t="str" cm="1">
        <f t="array" ref="AY28">IF($AU28&gt;0, INDEX($BA$12:$BP$19, $AU28, $AT28+AY$11), "-")</f>
        <v>-</v>
      </c>
      <c r="AZ28" s="44"/>
      <c r="BA28" s="54">
        <v>1.8</v>
      </c>
      <c r="BB28" s="53">
        <v>19.399999999999999</v>
      </c>
      <c r="BC28" s="53">
        <v>38.700000000000003</v>
      </c>
      <c r="BD28" s="53">
        <v>51.8</v>
      </c>
      <c r="BE28" s="53">
        <v>64.900000000000006</v>
      </c>
      <c r="BF28" s="53">
        <v>73.400000000000006</v>
      </c>
      <c r="BG28" s="53">
        <v>82</v>
      </c>
      <c r="BH28" s="53">
        <v>86.5</v>
      </c>
      <c r="BI28" s="53">
        <v>91.1</v>
      </c>
      <c r="BJ28" s="53">
        <v>94.6</v>
      </c>
      <c r="BK28" s="53">
        <v>98.1</v>
      </c>
      <c r="BL28" s="53">
        <v>98.9</v>
      </c>
      <c r="BM28" s="53">
        <v>99.6</v>
      </c>
      <c r="BN28" s="53">
        <v>99.8</v>
      </c>
      <c r="BO28" s="53">
        <v>100</v>
      </c>
      <c r="BP28" s="44"/>
      <c r="BQ28" s="44"/>
    </row>
    <row r="29" spans="1:69" s="91" customFormat="1" x14ac:dyDescent="0.2">
      <c r="A29" s="33" cm="1">
        <f t="array" ref="A29">IFERROR(INDEX(Operation, IFERROR(MATCH(#REF!, Y!$B$40:$B$51, 0), IFERROR(MATCH(#REF!, Y!$C$40:$C$51, 0), MATCH(#REF!, Y!$D$40:$D$51, 0))), 4), 0)</f>
        <v>0</v>
      </c>
      <c r="B29" s="105">
        <v>18</v>
      </c>
      <c r="C29" s="7"/>
      <c r="D29" s="7"/>
      <c r="E29" s="30"/>
      <c r="F29" s="8" t="str">
        <f>IF(ISBLANK(E29), "", VLOOKUP(E29, Z!$A$2:$C$4127, 3, FALSE))</f>
        <v/>
      </c>
      <c r="G29" s="60"/>
      <c r="H29" s="124"/>
      <c r="I29" s="34"/>
      <c r="J29" s="40"/>
      <c r="K29" s="41"/>
      <c r="L29" s="40"/>
      <c r="M29" s="31">
        <f t="shared" si="7"/>
        <v>0</v>
      </c>
      <c r="N29" s="7"/>
      <c r="O29" s="7"/>
      <c r="P29" s="61"/>
      <c r="Q29" s="35"/>
      <c r="R29" s="40"/>
      <c r="S29" s="31">
        <f t="shared" si="8"/>
        <v>0</v>
      </c>
      <c r="T29" s="6"/>
      <c r="U29" s="7"/>
      <c r="V29" s="30"/>
      <c r="W29" s="8" t="str">
        <f>IF(ISBLANK(V29), "", VLOOKUP(V29, Z!$A$2:$C$4127, 3, FALSE))</f>
        <v/>
      </c>
      <c r="X29" s="36"/>
      <c r="Y29" s="87">
        <f t="shared" si="9"/>
        <v>0</v>
      </c>
      <c r="Z29" s="21"/>
      <c r="AA29" s="106">
        <f>IFERROR(120*50/#REF!, 0)</f>
        <v>0</v>
      </c>
      <c r="AB29" s="106">
        <f>IFERROR(VLOOKUP($G29, Y!$F$2:$I$10, 4, FALSE), 0)</f>
        <v>0</v>
      </c>
      <c r="AC29" s="107">
        <f>IFERROR(VLOOKUP($G29, Y!$F$2:$I$10, 4, FALSE) * SQRT(H29/3600)/(I29/#REF!)^0.75, 0)</f>
        <v>0</v>
      </c>
      <c r="AD29" s="108">
        <f>IFERROR((88.59*LN(AC29) + 13.46*LN(H29) - 11.48*LN(AC29)^2 -0.85*LN(H29)^2 - 0.38*LN(AC29)*LN(H29) - VLOOKUP(G29,Y!$F$2:$H$10, 2, FALSE) ) / 100, 0)</f>
        <v>0</v>
      </c>
      <c r="AE29" s="109">
        <f t="shared" si="0"/>
        <v>0</v>
      </c>
      <c r="AF29" s="109">
        <f t="shared" si="10"/>
        <v>0</v>
      </c>
      <c r="AG29" s="110">
        <f t="shared" si="1"/>
        <v>0</v>
      </c>
      <c r="AH29" s="111">
        <f t="shared" si="2"/>
        <v>0</v>
      </c>
      <c r="AI29" s="25"/>
      <c r="AJ29" s="108">
        <f>IFERROR(#REF!*#REF!^2 /(#REF!/AA29)^2 +#REF! *#REF! /(#REF!/AA29), 0)</f>
        <v>0</v>
      </c>
      <c r="AK29" s="112">
        <f t="shared" si="3"/>
        <v>0</v>
      </c>
      <c r="AL29" s="112">
        <f t="shared" si="11"/>
        <v>0</v>
      </c>
      <c r="AM29" s="110">
        <f t="shared" si="4"/>
        <v>0</v>
      </c>
      <c r="AN29" s="109">
        <f t="shared" si="12"/>
        <v>0</v>
      </c>
      <c r="AO29" s="25"/>
      <c r="AP29" s="80">
        <f t="shared" si="5"/>
        <v>0</v>
      </c>
      <c r="AQ29" s="80">
        <f t="shared" si="13"/>
        <v>0.25</v>
      </c>
      <c r="AR29" s="25"/>
      <c r="AS29" s="66">
        <f t="shared" si="6"/>
        <v>1</v>
      </c>
      <c r="AT29" s="50">
        <f>IFERROR((MATCH(#REF!, $BA$21:$BA$23, 0) - 1)*4, 0)</f>
        <v>0</v>
      </c>
      <c r="AU29" s="48">
        <f>IFERROR(#REF!/2 + IF(J29&lt;0.75, 0, 4), 0)</f>
        <v>0</v>
      </c>
      <c r="AV29" s="48" t="str" cm="1">
        <f t="array" ref="AV29">IF($AU29&gt;0, INDEX($BA$12:$BP$19, $AU29, $AT29+AV$11), "-")</f>
        <v>-</v>
      </c>
      <c r="AW29" s="48" t="str" cm="1">
        <f t="array" ref="AW29">IF($AU29&gt;0, INDEX($BA$12:$BP$19, $AU29, $AT29+AW$11), "-")</f>
        <v>-</v>
      </c>
      <c r="AX29" s="48" t="str" cm="1">
        <f t="array" ref="AX29">IF($AU29&gt;0, INDEX($BA$12:$BP$19, $AU29, $AT29+AX$11), "-")</f>
        <v>-</v>
      </c>
      <c r="AY29" s="48" t="str" cm="1">
        <f t="array" ref="AY29">IF($AU29&gt;0, INDEX($BA$12:$BP$19, $AU29, $AT29+AY$11), "-")</f>
        <v>-</v>
      </c>
      <c r="AZ29" s="44"/>
      <c r="BA29" s="54">
        <v>3.7</v>
      </c>
      <c r="BB29" s="53">
        <v>20.6</v>
      </c>
      <c r="BC29" s="53">
        <v>41.2</v>
      </c>
      <c r="BD29" s="53">
        <v>54.7</v>
      </c>
      <c r="BE29" s="53">
        <v>68.2</v>
      </c>
      <c r="BF29" s="53">
        <v>77.2</v>
      </c>
      <c r="BG29" s="53">
        <v>86.1</v>
      </c>
      <c r="BH29" s="53">
        <v>90.6</v>
      </c>
      <c r="BI29" s="53">
        <v>95.1</v>
      </c>
      <c r="BJ29" s="53">
        <v>97.6</v>
      </c>
      <c r="BK29" s="53">
        <v>100</v>
      </c>
      <c r="BL29" s="53">
        <v>100</v>
      </c>
      <c r="BM29" s="53">
        <v>100</v>
      </c>
      <c r="BN29" s="53">
        <v>100</v>
      </c>
      <c r="BO29" s="53">
        <v>100</v>
      </c>
      <c r="BP29" s="44"/>
      <c r="BQ29" s="44"/>
    </row>
    <row r="30" spans="1:69" s="91" customFormat="1" x14ac:dyDescent="0.2">
      <c r="A30" s="33" cm="1">
        <f t="array" ref="A30">IFERROR(INDEX(Operation, IFERROR(MATCH(#REF!, Y!$B$40:$B$51, 0), IFERROR(MATCH(#REF!, Y!$C$40:$C$51, 0), MATCH(#REF!, Y!$D$40:$D$51, 0))), 4), 0)</f>
        <v>0</v>
      </c>
      <c r="B30" s="105">
        <v>19</v>
      </c>
      <c r="C30" s="7"/>
      <c r="D30" s="7"/>
      <c r="E30" s="30"/>
      <c r="F30" s="8" t="str">
        <f>IF(ISBLANK(E30), "", VLOOKUP(E30, Z!$A$2:$C$4127, 3, FALSE))</f>
        <v/>
      </c>
      <c r="G30" s="60"/>
      <c r="H30" s="124"/>
      <c r="I30" s="34"/>
      <c r="J30" s="40"/>
      <c r="K30" s="41"/>
      <c r="L30" s="40"/>
      <c r="M30" s="31">
        <f t="shared" si="7"/>
        <v>0</v>
      </c>
      <c r="N30" s="7"/>
      <c r="O30" s="7"/>
      <c r="P30" s="61"/>
      <c r="Q30" s="35"/>
      <c r="R30" s="40"/>
      <c r="S30" s="31">
        <f t="shared" si="8"/>
        <v>0</v>
      </c>
      <c r="T30" s="6"/>
      <c r="U30" s="7"/>
      <c r="V30" s="30"/>
      <c r="W30" s="8" t="str">
        <f>IF(ISBLANK(V30), "", VLOOKUP(V30, Z!$A$2:$C$4127, 3, FALSE))</f>
        <v/>
      </c>
      <c r="X30" s="36"/>
      <c r="Y30" s="87">
        <f t="shared" si="9"/>
        <v>0</v>
      </c>
      <c r="Z30" s="21"/>
      <c r="AA30" s="106">
        <f>IFERROR(120*50/#REF!, 0)</f>
        <v>0</v>
      </c>
      <c r="AB30" s="106">
        <f>IFERROR(VLOOKUP($G30, Y!$F$2:$I$10, 4, FALSE), 0)</f>
        <v>0</v>
      </c>
      <c r="AC30" s="107">
        <f>IFERROR(VLOOKUP($G30, Y!$F$2:$I$10, 4, FALSE) * SQRT(H30/3600)/(I30/#REF!)^0.75, 0)</f>
        <v>0</v>
      </c>
      <c r="AD30" s="108">
        <f>IFERROR((88.59*LN(AC30) + 13.46*LN(H30) - 11.48*LN(AC30)^2 -0.85*LN(H30)^2 - 0.38*LN(AC30)*LN(H30) - VLOOKUP(G30,Y!$F$2:$H$10, 2, FALSE) ) / 100, 0)</f>
        <v>0</v>
      </c>
      <c r="AE30" s="109">
        <f t="shared" si="0"/>
        <v>0</v>
      </c>
      <c r="AF30" s="109">
        <f t="shared" si="10"/>
        <v>0</v>
      </c>
      <c r="AG30" s="110">
        <f t="shared" si="1"/>
        <v>0</v>
      </c>
      <c r="AH30" s="111">
        <f t="shared" si="2"/>
        <v>0</v>
      </c>
      <c r="AI30" s="25"/>
      <c r="AJ30" s="108">
        <f>IFERROR(#REF!*#REF!^2 /(#REF!/AA30)^2 +#REF! *#REF! /(#REF!/AA30), 0)</f>
        <v>0</v>
      </c>
      <c r="AK30" s="112">
        <f t="shared" si="3"/>
        <v>0</v>
      </c>
      <c r="AL30" s="112">
        <f t="shared" si="11"/>
        <v>0</v>
      </c>
      <c r="AM30" s="110">
        <f t="shared" si="4"/>
        <v>0</v>
      </c>
      <c r="AN30" s="109">
        <f t="shared" si="12"/>
        <v>0</v>
      </c>
      <c r="AO30" s="25"/>
      <c r="AP30" s="80">
        <f t="shared" si="5"/>
        <v>0</v>
      </c>
      <c r="AQ30" s="80">
        <f t="shared" si="13"/>
        <v>0.25</v>
      </c>
      <c r="AR30" s="25"/>
      <c r="AS30" s="66">
        <f t="shared" si="6"/>
        <v>1</v>
      </c>
      <c r="AT30" s="50">
        <f>IFERROR((MATCH(#REF!, $BA$21:$BA$23, 0) - 1)*4, 0)</f>
        <v>0</v>
      </c>
      <c r="AU30" s="48">
        <f>IFERROR(#REF!/2 + IF(J30&lt;0.75, 0, 4), 0)</f>
        <v>0</v>
      </c>
      <c r="AV30" s="48" t="str" cm="1">
        <f t="array" ref="AV30">IF($AU30&gt;0, INDEX($BA$12:$BP$19, $AU30, $AT30+AV$11), "-")</f>
        <v>-</v>
      </c>
      <c r="AW30" s="48" t="str" cm="1">
        <f t="array" ref="AW30">IF($AU30&gt;0, INDEX($BA$12:$BP$19, $AU30, $AT30+AW$11), "-")</f>
        <v>-</v>
      </c>
      <c r="AX30" s="48" t="str" cm="1">
        <f t="array" ref="AX30">IF($AU30&gt;0, INDEX($BA$12:$BP$19, $AU30, $AT30+AX$11), "-")</f>
        <v>-</v>
      </c>
      <c r="AY30" s="48" t="str" cm="1">
        <f t="array" ref="AY30">IF($AU30&gt;0, INDEX($BA$12:$BP$19, $AU30, $AT30+AY$11), "-")</f>
        <v>-</v>
      </c>
      <c r="AZ30" s="44"/>
      <c r="BA30" s="54">
        <v>5.5</v>
      </c>
      <c r="BB30" s="53">
        <v>24.4</v>
      </c>
      <c r="BC30" s="53">
        <v>48.8</v>
      </c>
      <c r="BD30" s="53">
        <v>61.5</v>
      </c>
      <c r="BE30" s="53">
        <v>74.099999999999994</v>
      </c>
      <c r="BF30" s="53">
        <v>81.599999999999994</v>
      </c>
      <c r="BG30" s="53">
        <v>89</v>
      </c>
      <c r="BH30" s="53">
        <v>92.4</v>
      </c>
      <c r="BI30" s="53">
        <v>95.7</v>
      </c>
      <c r="BJ30" s="53">
        <v>97.9</v>
      </c>
      <c r="BK30" s="53">
        <v>100</v>
      </c>
      <c r="BL30" s="53">
        <v>100</v>
      </c>
      <c r="BM30" s="53">
        <v>100</v>
      </c>
      <c r="BN30" s="53">
        <v>100</v>
      </c>
      <c r="BO30" s="53">
        <v>100</v>
      </c>
      <c r="BP30" s="44"/>
      <c r="BQ30" s="44"/>
    </row>
    <row r="31" spans="1:69" s="91" customFormat="1" x14ac:dyDescent="0.2">
      <c r="A31" s="33" cm="1">
        <f t="array" ref="A31">IFERROR(INDEX(Operation, IFERROR(MATCH(#REF!, Y!$B$40:$B$51, 0), IFERROR(MATCH(#REF!, Y!$C$40:$C$51, 0), MATCH(#REF!, Y!$D$40:$D$51, 0))), 4), 0)</f>
        <v>0</v>
      </c>
      <c r="B31" s="105">
        <v>20</v>
      </c>
      <c r="C31" s="7"/>
      <c r="D31" s="7"/>
      <c r="E31" s="30"/>
      <c r="F31" s="8" t="str">
        <f>IF(ISBLANK(E31), "", VLOOKUP(E31, Z!$A$2:$C$4127, 3, FALSE))</f>
        <v/>
      </c>
      <c r="G31" s="60"/>
      <c r="H31" s="124"/>
      <c r="I31" s="34"/>
      <c r="J31" s="40"/>
      <c r="K31" s="41"/>
      <c r="L31" s="40"/>
      <c r="M31" s="31">
        <f t="shared" si="7"/>
        <v>0</v>
      </c>
      <c r="N31" s="7"/>
      <c r="O31" s="7"/>
      <c r="P31" s="61"/>
      <c r="Q31" s="35"/>
      <c r="R31" s="40"/>
      <c r="S31" s="31">
        <f t="shared" si="8"/>
        <v>0</v>
      </c>
      <c r="T31" s="6"/>
      <c r="U31" s="7"/>
      <c r="V31" s="30"/>
      <c r="W31" s="8" t="str">
        <f>IF(ISBLANK(V31), "", VLOOKUP(V31, Z!$A$2:$C$4127, 3, FALSE))</f>
        <v/>
      </c>
      <c r="X31" s="36"/>
      <c r="Y31" s="87">
        <f t="shared" si="9"/>
        <v>0</v>
      </c>
      <c r="Z31" s="21"/>
      <c r="AA31" s="106">
        <f>IFERROR(120*50/#REF!, 0)</f>
        <v>0</v>
      </c>
      <c r="AB31" s="106">
        <f>IFERROR(VLOOKUP($G31, Y!$F$2:$I$10, 4, FALSE), 0)</f>
        <v>0</v>
      </c>
      <c r="AC31" s="107">
        <f>IFERROR(VLOOKUP($G31, Y!$F$2:$I$10, 4, FALSE) * SQRT(H31/3600)/(I31/#REF!)^0.75, 0)</f>
        <v>0</v>
      </c>
      <c r="AD31" s="108">
        <f>IFERROR((88.59*LN(AC31) + 13.46*LN(H31) - 11.48*LN(AC31)^2 -0.85*LN(H31)^2 - 0.38*LN(AC31)*LN(H31) - VLOOKUP(G31,Y!$F$2:$H$10, 2, FALSE) ) / 100, 0)</f>
        <v>0</v>
      </c>
      <c r="AE31" s="109">
        <f t="shared" si="0"/>
        <v>0</v>
      </c>
      <c r="AF31" s="109">
        <f t="shared" si="10"/>
        <v>0</v>
      </c>
      <c r="AG31" s="110">
        <f t="shared" si="1"/>
        <v>0</v>
      </c>
      <c r="AH31" s="111">
        <f t="shared" si="2"/>
        <v>0</v>
      </c>
      <c r="AI31" s="25"/>
      <c r="AJ31" s="108">
        <f>IFERROR(#REF!*#REF!^2 /(#REF!/AA31)^2 +#REF! *#REF! /(#REF!/AA31), 0)</f>
        <v>0</v>
      </c>
      <c r="AK31" s="112">
        <f t="shared" si="3"/>
        <v>0</v>
      </c>
      <c r="AL31" s="112">
        <f t="shared" si="11"/>
        <v>0</v>
      </c>
      <c r="AM31" s="110">
        <f t="shared" si="4"/>
        <v>0</v>
      </c>
      <c r="AN31" s="109">
        <f t="shared" si="12"/>
        <v>0</v>
      </c>
      <c r="AO31" s="25"/>
      <c r="AP31" s="80">
        <f t="shared" si="5"/>
        <v>0</v>
      </c>
      <c r="AQ31" s="80">
        <f t="shared" si="13"/>
        <v>0.25</v>
      </c>
      <c r="AR31" s="25"/>
      <c r="AS31" s="66">
        <f t="shared" si="6"/>
        <v>1</v>
      </c>
      <c r="AT31" s="50">
        <f>IFERROR((MATCH(#REF!, $BA$21:$BA$23, 0) - 1)*4, 0)</f>
        <v>0</v>
      </c>
      <c r="AU31" s="48">
        <f>IFERROR(#REF!/2 + IF(J31&lt;0.75, 0, 4), 0)</f>
        <v>0</v>
      </c>
      <c r="AV31" s="48" t="str" cm="1">
        <f t="array" ref="AV31">IF($AU31&gt;0, INDEX($BA$12:$BP$19, $AU31, $AT31+AV$11), "-")</f>
        <v>-</v>
      </c>
      <c r="AW31" s="48" t="str" cm="1">
        <f t="array" ref="AW31">IF($AU31&gt;0, INDEX($BA$12:$BP$19, $AU31, $AT31+AW$11), "-")</f>
        <v>-</v>
      </c>
      <c r="AX31" s="48" t="str" cm="1">
        <f t="array" ref="AX31">IF($AU31&gt;0, INDEX($BA$12:$BP$19, $AU31, $AT31+AX$11), "-")</f>
        <v>-</v>
      </c>
      <c r="AY31" s="48" t="str" cm="1">
        <f t="array" ref="AY31">IF($AU31&gt;0, INDEX($BA$12:$BP$19, $AU31, $AT31+AY$11), "-")</f>
        <v>-</v>
      </c>
      <c r="AZ31" s="44"/>
      <c r="BA31" s="54">
        <v>7.4</v>
      </c>
      <c r="BB31" s="53">
        <v>28.1</v>
      </c>
      <c r="BC31" s="53">
        <v>56.3</v>
      </c>
      <c r="BD31" s="53">
        <v>68.099999999999994</v>
      </c>
      <c r="BE31" s="53">
        <v>80</v>
      </c>
      <c r="BF31" s="53">
        <v>85.9</v>
      </c>
      <c r="BG31" s="53">
        <v>91.9</v>
      </c>
      <c r="BH31" s="53">
        <v>94.1</v>
      </c>
      <c r="BI31" s="53">
        <v>96.3</v>
      </c>
      <c r="BJ31" s="53">
        <v>98.1</v>
      </c>
      <c r="BK31" s="53">
        <v>100</v>
      </c>
      <c r="BL31" s="53">
        <v>100</v>
      </c>
      <c r="BM31" s="53">
        <v>100</v>
      </c>
      <c r="BN31" s="53">
        <v>100</v>
      </c>
      <c r="BO31" s="53">
        <v>100</v>
      </c>
      <c r="BP31" s="44"/>
      <c r="BQ31" s="44"/>
    </row>
    <row r="32" spans="1:69" s="91" customFormat="1" x14ac:dyDescent="0.2">
      <c r="A32" s="33" cm="1">
        <f t="array" ref="A32">IFERROR(INDEX(Operation, IFERROR(MATCH(#REF!, Y!$B$40:$B$51, 0), IFERROR(MATCH(#REF!, Y!$C$40:$C$51, 0), MATCH(#REF!, Y!$D$40:$D$51, 0))), 4), 0)</f>
        <v>0</v>
      </c>
      <c r="B32" s="105">
        <v>21</v>
      </c>
      <c r="C32" s="7"/>
      <c r="D32" s="7"/>
      <c r="E32" s="30"/>
      <c r="F32" s="8" t="str">
        <f>IF(ISBLANK(E32), "", VLOOKUP(E32, Z!$A$2:$C$4127, 3, FALSE))</f>
        <v/>
      </c>
      <c r="G32" s="60"/>
      <c r="H32" s="124"/>
      <c r="I32" s="34"/>
      <c r="J32" s="40"/>
      <c r="K32" s="41"/>
      <c r="L32" s="40"/>
      <c r="M32" s="31">
        <f t="shared" si="7"/>
        <v>0</v>
      </c>
      <c r="N32" s="7"/>
      <c r="O32" s="7"/>
      <c r="P32" s="61"/>
      <c r="Q32" s="35"/>
      <c r="R32" s="40"/>
      <c r="S32" s="31">
        <f t="shared" si="8"/>
        <v>0</v>
      </c>
      <c r="T32" s="6"/>
      <c r="U32" s="7"/>
      <c r="V32" s="30"/>
      <c r="W32" s="8" t="str">
        <f>IF(ISBLANK(V32), "", VLOOKUP(V32, Z!$A$2:$C$4127, 3, FALSE))</f>
        <v/>
      </c>
      <c r="X32" s="36"/>
      <c r="Y32" s="87">
        <f t="shared" si="9"/>
        <v>0</v>
      </c>
      <c r="Z32" s="21"/>
      <c r="AA32" s="106">
        <f>IFERROR(120*50/#REF!, 0)</f>
        <v>0</v>
      </c>
      <c r="AB32" s="106">
        <f>IFERROR(VLOOKUP($G32, Y!$F$2:$I$10, 4, FALSE), 0)</f>
        <v>0</v>
      </c>
      <c r="AC32" s="107">
        <f>IFERROR(VLOOKUP($G32, Y!$F$2:$I$10, 4, FALSE) * SQRT(H32/3600)/(I32/#REF!)^0.75, 0)</f>
        <v>0</v>
      </c>
      <c r="AD32" s="108">
        <f>IFERROR((88.59*LN(AC32) + 13.46*LN(H32) - 11.48*LN(AC32)^2 -0.85*LN(H32)^2 - 0.38*LN(AC32)*LN(H32) - VLOOKUP(G32,Y!$F$2:$H$10, 2, FALSE) ) / 100, 0)</f>
        <v>0</v>
      </c>
      <c r="AE32" s="109">
        <f t="shared" si="0"/>
        <v>0</v>
      </c>
      <c r="AF32" s="109">
        <f t="shared" si="10"/>
        <v>0</v>
      </c>
      <c r="AG32" s="110">
        <f t="shared" si="1"/>
        <v>0</v>
      </c>
      <c r="AH32" s="111">
        <f t="shared" si="2"/>
        <v>0</v>
      </c>
      <c r="AI32" s="25"/>
      <c r="AJ32" s="108">
        <f>IFERROR(#REF!*#REF!^2 /(#REF!/AA32)^2 +#REF! *#REF! /(#REF!/AA32), 0)</f>
        <v>0</v>
      </c>
      <c r="AK32" s="112">
        <f t="shared" si="3"/>
        <v>0</v>
      </c>
      <c r="AL32" s="112">
        <f t="shared" si="11"/>
        <v>0</v>
      </c>
      <c r="AM32" s="110">
        <f t="shared" si="4"/>
        <v>0</v>
      </c>
      <c r="AN32" s="109">
        <f t="shared" si="12"/>
        <v>0</v>
      </c>
      <c r="AO32" s="25"/>
      <c r="AP32" s="80">
        <f t="shared" si="5"/>
        <v>0</v>
      </c>
      <c r="AQ32" s="80">
        <f t="shared" si="13"/>
        <v>0.25</v>
      </c>
      <c r="AR32" s="25"/>
      <c r="AS32" s="66">
        <f t="shared" si="6"/>
        <v>1</v>
      </c>
      <c r="AT32" s="50">
        <f>IFERROR((MATCH(#REF!, $BA$21:$BA$23, 0) - 1)*4, 0)</f>
        <v>0</v>
      </c>
      <c r="AU32" s="48">
        <f>IFERROR(#REF!/2 + IF(J32&lt;0.75, 0, 4), 0)</f>
        <v>0</v>
      </c>
      <c r="AV32" s="48" t="str" cm="1">
        <f t="array" ref="AV32">IF($AU32&gt;0, INDEX($BA$12:$BP$19, $AU32, $AT32+AV$11), "-")</f>
        <v>-</v>
      </c>
      <c r="AW32" s="48" t="str" cm="1">
        <f t="array" ref="AW32">IF($AU32&gt;0, INDEX($BA$12:$BP$19, $AU32, $AT32+AW$11), "-")</f>
        <v>-</v>
      </c>
      <c r="AX32" s="48" t="str" cm="1">
        <f t="array" ref="AX32">IF($AU32&gt;0, INDEX($BA$12:$BP$19, $AU32, $AT32+AX$11), "-")</f>
        <v>-</v>
      </c>
      <c r="AY32" s="48" t="str" cm="1">
        <f t="array" ref="AY32">IF($AU32&gt;0, INDEX($BA$12:$BP$19, $AU32, $AT32+AY$11), "-")</f>
        <v>-</v>
      </c>
      <c r="AZ32" s="44"/>
      <c r="BA32" s="54">
        <v>12.9</v>
      </c>
      <c r="BB32" s="53">
        <v>31.7</v>
      </c>
      <c r="BC32" s="53">
        <v>63.5</v>
      </c>
      <c r="BD32" s="53">
        <v>73.400000000000006</v>
      </c>
      <c r="BE32" s="53">
        <v>83.4</v>
      </c>
      <c r="BF32" s="53">
        <v>88.1</v>
      </c>
      <c r="BG32" s="53">
        <v>92.8</v>
      </c>
      <c r="BH32" s="53">
        <v>94.7</v>
      </c>
      <c r="BI32" s="53">
        <v>96.7</v>
      </c>
      <c r="BJ32" s="53">
        <v>98.3</v>
      </c>
      <c r="BK32" s="53">
        <v>100</v>
      </c>
      <c r="BL32" s="53">
        <v>100</v>
      </c>
      <c r="BM32" s="53">
        <v>100</v>
      </c>
      <c r="BN32" s="53">
        <v>100</v>
      </c>
      <c r="BO32" s="53">
        <v>100</v>
      </c>
      <c r="BP32" s="44"/>
      <c r="BQ32" s="44"/>
    </row>
    <row r="33" spans="1:69" s="91" customFormat="1" x14ac:dyDescent="0.2">
      <c r="A33" s="33" cm="1">
        <f t="array" ref="A33">IFERROR(INDEX(Operation, IFERROR(MATCH(#REF!, Y!$B$40:$B$51, 0), IFERROR(MATCH(#REF!, Y!$C$40:$C$51, 0), MATCH(#REF!, Y!$D$40:$D$51, 0))), 4), 0)</f>
        <v>0</v>
      </c>
      <c r="B33" s="105">
        <v>22</v>
      </c>
      <c r="C33" s="7"/>
      <c r="D33" s="7"/>
      <c r="E33" s="30"/>
      <c r="F33" s="8" t="str">
        <f>IF(ISBLANK(E33), "", VLOOKUP(E33, Z!$A$2:$C$4127, 3, FALSE))</f>
        <v/>
      </c>
      <c r="G33" s="60"/>
      <c r="H33" s="124"/>
      <c r="I33" s="34"/>
      <c r="J33" s="40"/>
      <c r="K33" s="41"/>
      <c r="L33" s="40"/>
      <c r="M33" s="31">
        <f t="shared" si="7"/>
        <v>0</v>
      </c>
      <c r="N33" s="7"/>
      <c r="O33" s="7"/>
      <c r="P33" s="61"/>
      <c r="Q33" s="35"/>
      <c r="R33" s="40"/>
      <c r="S33" s="31">
        <f t="shared" si="8"/>
        <v>0</v>
      </c>
      <c r="T33" s="6"/>
      <c r="U33" s="7"/>
      <c r="V33" s="30"/>
      <c r="W33" s="8" t="str">
        <f>IF(ISBLANK(V33), "", VLOOKUP(V33, Z!$A$2:$C$4127, 3, FALSE))</f>
        <v/>
      </c>
      <c r="X33" s="36"/>
      <c r="Y33" s="87">
        <f t="shared" si="9"/>
        <v>0</v>
      </c>
      <c r="Z33" s="21"/>
      <c r="AA33" s="106">
        <f>IFERROR(120*50/#REF!, 0)</f>
        <v>0</v>
      </c>
      <c r="AB33" s="106">
        <f>IFERROR(VLOOKUP($G33, Y!$F$2:$I$10, 4, FALSE), 0)</f>
        <v>0</v>
      </c>
      <c r="AC33" s="107">
        <f>IFERROR(VLOOKUP($G33, Y!$F$2:$I$10, 4, FALSE) * SQRT(H33/3600)/(I33/#REF!)^0.75, 0)</f>
        <v>0</v>
      </c>
      <c r="AD33" s="108">
        <f>IFERROR((88.59*LN(AC33) + 13.46*LN(H33) - 11.48*LN(AC33)^2 -0.85*LN(H33)^2 - 0.38*LN(AC33)*LN(H33) - VLOOKUP(G33,Y!$F$2:$H$10, 2, FALSE) ) / 100, 0)</f>
        <v>0</v>
      </c>
      <c r="AE33" s="109">
        <f t="shared" si="0"/>
        <v>0</v>
      </c>
      <c r="AF33" s="109">
        <f t="shared" si="10"/>
        <v>0</v>
      </c>
      <c r="AG33" s="110">
        <f t="shared" si="1"/>
        <v>0</v>
      </c>
      <c r="AH33" s="111">
        <f t="shared" si="2"/>
        <v>0</v>
      </c>
      <c r="AI33" s="25"/>
      <c r="AJ33" s="108">
        <f>IFERROR(#REF!*#REF!^2 /(#REF!/AA33)^2 +#REF! *#REF! /(#REF!/AA33), 0)</f>
        <v>0</v>
      </c>
      <c r="AK33" s="112">
        <f t="shared" si="3"/>
        <v>0</v>
      </c>
      <c r="AL33" s="112">
        <f t="shared" si="11"/>
        <v>0</v>
      </c>
      <c r="AM33" s="110">
        <f t="shared" si="4"/>
        <v>0</v>
      </c>
      <c r="AN33" s="109">
        <f t="shared" si="12"/>
        <v>0</v>
      </c>
      <c r="AO33" s="25"/>
      <c r="AP33" s="80">
        <f t="shared" si="5"/>
        <v>0</v>
      </c>
      <c r="AQ33" s="80">
        <f t="shared" si="13"/>
        <v>0.25</v>
      </c>
      <c r="AR33" s="25"/>
      <c r="AS33" s="66">
        <f t="shared" si="6"/>
        <v>1</v>
      </c>
      <c r="AT33" s="50">
        <f>IFERROR((MATCH(#REF!, $BA$21:$BA$23, 0) - 1)*4, 0)</f>
        <v>0</v>
      </c>
      <c r="AU33" s="48">
        <f>IFERROR(#REF!/2 + IF(J33&lt;0.75, 0, 4), 0)</f>
        <v>0</v>
      </c>
      <c r="AV33" s="48" t="str" cm="1">
        <f t="array" ref="AV33">IF($AU33&gt;0, INDEX($BA$12:$BP$19, $AU33, $AT33+AV$11), "-")</f>
        <v>-</v>
      </c>
      <c r="AW33" s="48" t="str" cm="1">
        <f t="array" ref="AW33">IF($AU33&gt;0, INDEX($BA$12:$BP$19, $AU33, $AT33+AW$11), "-")</f>
        <v>-</v>
      </c>
      <c r="AX33" s="48" t="str" cm="1">
        <f t="array" ref="AX33">IF($AU33&gt;0, INDEX($BA$12:$BP$19, $AU33, $AT33+AX$11), "-")</f>
        <v>-</v>
      </c>
      <c r="AY33" s="48" t="str" cm="1">
        <f t="array" ref="AY33">IF($AU33&gt;0, INDEX($BA$12:$BP$19, $AU33, $AT33+AY$11), "-")</f>
        <v>-</v>
      </c>
      <c r="AZ33" s="44"/>
      <c r="BA33" s="54">
        <v>18.399999999999999</v>
      </c>
      <c r="BB33" s="53">
        <v>35.299999999999997</v>
      </c>
      <c r="BC33" s="53">
        <v>70.599999999999994</v>
      </c>
      <c r="BD33" s="53">
        <v>78.7</v>
      </c>
      <c r="BE33" s="53">
        <v>86.8</v>
      </c>
      <c r="BF33" s="53">
        <v>90.3</v>
      </c>
      <c r="BG33" s="53">
        <v>93.8</v>
      </c>
      <c r="BH33" s="53">
        <v>95.4</v>
      </c>
      <c r="BI33" s="53">
        <v>97.1</v>
      </c>
      <c r="BJ33" s="53">
        <v>98.5</v>
      </c>
      <c r="BK33" s="53">
        <v>100</v>
      </c>
      <c r="BL33" s="53">
        <v>100</v>
      </c>
      <c r="BM33" s="53">
        <v>100</v>
      </c>
      <c r="BN33" s="53">
        <v>100</v>
      </c>
      <c r="BO33" s="53">
        <v>100</v>
      </c>
      <c r="BP33" s="44"/>
      <c r="BQ33" s="44"/>
    </row>
    <row r="34" spans="1:69" s="91" customFormat="1" x14ac:dyDescent="0.2">
      <c r="A34" s="33" cm="1">
        <f t="array" ref="A34">IFERROR(INDEX(Operation, IFERROR(MATCH(#REF!, Y!$B$40:$B$51, 0), IFERROR(MATCH(#REF!, Y!$C$40:$C$51, 0), MATCH(#REF!, Y!$D$40:$D$51, 0))), 4), 0)</f>
        <v>0</v>
      </c>
      <c r="B34" s="105">
        <v>23</v>
      </c>
      <c r="C34" s="7"/>
      <c r="D34" s="7"/>
      <c r="E34" s="30"/>
      <c r="F34" s="8" t="str">
        <f>IF(ISBLANK(E34), "", VLOOKUP(E34, Z!$A$2:$C$4127, 3, FALSE))</f>
        <v/>
      </c>
      <c r="G34" s="60"/>
      <c r="H34" s="124"/>
      <c r="I34" s="34"/>
      <c r="J34" s="40"/>
      <c r="K34" s="41"/>
      <c r="L34" s="40"/>
      <c r="M34" s="31">
        <f t="shared" si="7"/>
        <v>0</v>
      </c>
      <c r="N34" s="7"/>
      <c r="O34" s="7"/>
      <c r="P34" s="61"/>
      <c r="Q34" s="35"/>
      <c r="R34" s="40"/>
      <c r="S34" s="31">
        <f t="shared" si="8"/>
        <v>0</v>
      </c>
      <c r="T34" s="6"/>
      <c r="U34" s="7"/>
      <c r="V34" s="30"/>
      <c r="W34" s="8" t="str">
        <f>IF(ISBLANK(V34), "", VLOOKUP(V34, Z!$A$2:$C$4127, 3, FALSE))</f>
        <v/>
      </c>
      <c r="X34" s="36"/>
      <c r="Y34" s="87">
        <f t="shared" si="9"/>
        <v>0</v>
      </c>
      <c r="Z34" s="21"/>
      <c r="AA34" s="106">
        <f>IFERROR(120*50/#REF!, 0)</f>
        <v>0</v>
      </c>
      <c r="AB34" s="106">
        <f>IFERROR(VLOOKUP($G34, Y!$F$2:$I$10, 4, FALSE), 0)</f>
        <v>0</v>
      </c>
      <c r="AC34" s="107">
        <f>IFERROR(VLOOKUP($G34, Y!$F$2:$I$10, 4, FALSE) * SQRT(H34/3600)/(I34/#REF!)^0.75, 0)</f>
        <v>0</v>
      </c>
      <c r="AD34" s="108">
        <f>IFERROR((88.59*LN(AC34) + 13.46*LN(H34) - 11.48*LN(AC34)^2 -0.85*LN(H34)^2 - 0.38*LN(AC34)*LN(H34) - VLOOKUP(G34,Y!$F$2:$H$10, 2, FALSE) ) / 100, 0)</f>
        <v>0</v>
      </c>
      <c r="AE34" s="109">
        <f t="shared" si="0"/>
        <v>0</v>
      </c>
      <c r="AF34" s="109">
        <f t="shared" si="10"/>
        <v>0</v>
      </c>
      <c r="AG34" s="110">
        <f t="shared" si="1"/>
        <v>0</v>
      </c>
      <c r="AH34" s="111">
        <f t="shared" si="2"/>
        <v>0</v>
      </c>
      <c r="AI34" s="25"/>
      <c r="AJ34" s="108">
        <f>IFERROR(#REF!*#REF!^2 /(#REF!/AA34)^2 +#REF! *#REF! /(#REF!/AA34), 0)</f>
        <v>0</v>
      </c>
      <c r="AK34" s="112">
        <f t="shared" si="3"/>
        <v>0</v>
      </c>
      <c r="AL34" s="112">
        <f t="shared" si="11"/>
        <v>0</v>
      </c>
      <c r="AM34" s="110">
        <f t="shared" si="4"/>
        <v>0</v>
      </c>
      <c r="AN34" s="109">
        <f t="shared" si="12"/>
        <v>0</v>
      </c>
      <c r="AO34" s="25"/>
      <c r="AP34" s="80">
        <f t="shared" si="5"/>
        <v>0</v>
      </c>
      <c r="AQ34" s="80">
        <f t="shared" si="13"/>
        <v>0.25</v>
      </c>
      <c r="AR34" s="25"/>
      <c r="AS34" s="66">
        <f t="shared" si="6"/>
        <v>1</v>
      </c>
      <c r="AT34" s="50">
        <f>IFERROR((MATCH(#REF!, $BA$21:$BA$23, 0) - 1)*4, 0)</f>
        <v>0</v>
      </c>
      <c r="AU34" s="48">
        <f>IFERROR(#REF!/2 + IF(J34&lt;0.75, 0, 4), 0)</f>
        <v>0</v>
      </c>
      <c r="AV34" s="48" t="str" cm="1">
        <f t="array" ref="AV34">IF($AU34&gt;0, INDEX($BA$12:$BP$19, $AU34, $AT34+AV$11), "-")</f>
        <v>-</v>
      </c>
      <c r="AW34" s="48" t="str" cm="1">
        <f t="array" ref="AW34">IF($AU34&gt;0, INDEX($BA$12:$BP$19, $AU34, $AT34+AW$11), "-")</f>
        <v>-</v>
      </c>
      <c r="AX34" s="48" t="str" cm="1">
        <f t="array" ref="AX34">IF($AU34&gt;0, INDEX($BA$12:$BP$19, $AU34, $AT34+AX$11), "-")</f>
        <v>-</v>
      </c>
      <c r="AY34" s="48" t="str" cm="1">
        <f t="array" ref="AY34">IF($AU34&gt;0, INDEX($BA$12:$BP$19, $AU34, $AT34+AY$11), "-")</f>
        <v>-</v>
      </c>
      <c r="AZ34" s="44"/>
      <c r="BA34" s="54">
        <v>31.2</v>
      </c>
      <c r="BB34" s="53">
        <v>37.5</v>
      </c>
      <c r="BC34" s="53">
        <v>75.099999999999994</v>
      </c>
      <c r="BD34" s="53">
        <v>81.900000000000006</v>
      </c>
      <c r="BE34" s="53">
        <v>88.6</v>
      </c>
      <c r="BF34" s="53">
        <v>91.5</v>
      </c>
      <c r="BG34" s="53">
        <v>94.3</v>
      </c>
      <c r="BH34" s="53">
        <v>95.8</v>
      </c>
      <c r="BI34" s="53">
        <v>97.3</v>
      </c>
      <c r="BJ34" s="53">
        <v>98.6</v>
      </c>
      <c r="BK34" s="53">
        <v>100</v>
      </c>
      <c r="BL34" s="53">
        <v>100</v>
      </c>
      <c r="BM34" s="53">
        <v>100</v>
      </c>
      <c r="BN34" s="53">
        <v>100</v>
      </c>
      <c r="BO34" s="53">
        <v>100</v>
      </c>
      <c r="BP34" s="44"/>
      <c r="BQ34" s="44"/>
    </row>
    <row r="35" spans="1:69" s="91" customFormat="1" x14ac:dyDescent="0.2">
      <c r="A35" s="33" cm="1">
        <f t="array" ref="A35">IFERROR(INDEX(Operation, IFERROR(MATCH(#REF!, Y!$B$40:$B$51, 0), IFERROR(MATCH(#REF!, Y!$C$40:$C$51, 0), MATCH(#REF!, Y!$D$40:$D$51, 0))), 4), 0)</f>
        <v>0</v>
      </c>
      <c r="B35" s="105">
        <v>24</v>
      </c>
      <c r="C35" s="7"/>
      <c r="D35" s="7"/>
      <c r="E35" s="30"/>
      <c r="F35" s="8" t="str">
        <f>IF(ISBLANK(E35), "", VLOOKUP(E35, Z!$A$2:$C$4127, 3, FALSE))</f>
        <v/>
      </c>
      <c r="G35" s="60"/>
      <c r="H35" s="124"/>
      <c r="I35" s="34"/>
      <c r="J35" s="40"/>
      <c r="K35" s="41"/>
      <c r="L35" s="40"/>
      <c r="M35" s="31">
        <f t="shared" si="7"/>
        <v>0</v>
      </c>
      <c r="N35" s="7"/>
      <c r="O35" s="7"/>
      <c r="P35" s="61"/>
      <c r="Q35" s="35"/>
      <c r="R35" s="40"/>
      <c r="S35" s="31">
        <f t="shared" si="8"/>
        <v>0</v>
      </c>
      <c r="T35" s="6"/>
      <c r="U35" s="7"/>
      <c r="V35" s="30"/>
      <c r="W35" s="8" t="str">
        <f>IF(ISBLANK(V35), "", VLOOKUP(V35, Z!$A$2:$C$4127, 3, FALSE))</f>
        <v/>
      </c>
      <c r="X35" s="36"/>
      <c r="Y35" s="87">
        <f t="shared" si="9"/>
        <v>0</v>
      </c>
      <c r="Z35" s="21"/>
      <c r="AA35" s="106">
        <f>IFERROR(120*50/#REF!, 0)</f>
        <v>0</v>
      </c>
      <c r="AB35" s="106">
        <f>IFERROR(VLOOKUP($G35, Y!$F$2:$I$10, 4, FALSE), 0)</f>
        <v>0</v>
      </c>
      <c r="AC35" s="107">
        <f>IFERROR(VLOOKUP($G35, Y!$F$2:$I$10, 4, FALSE) * SQRT(H35/3600)/(I35/#REF!)^0.75, 0)</f>
        <v>0</v>
      </c>
      <c r="AD35" s="108">
        <f>IFERROR((88.59*LN(AC35) + 13.46*LN(H35) - 11.48*LN(AC35)^2 -0.85*LN(H35)^2 - 0.38*LN(AC35)*LN(H35) - VLOOKUP(G35,Y!$F$2:$H$10, 2, FALSE) ) / 100, 0)</f>
        <v>0</v>
      </c>
      <c r="AE35" s="109">
        <f t="shared" si="0"/>
        <v>0</v>
      </c>
      <c r="AF35" s="109">
        <f t="shared" si="10"/>
        <v>0</v>
      </c>
      <c r="AG35" s="110">
        <f t="shared" si="1"/>
        <v>0</v>
      </c>
      <c r="AH35" s="111">
        <f t="shared" si="2"/>
        <v>0</v>
      </c>
      <c r="AI35" s="25"/>
      <c r="AJ35" s="108">
        <f>IFERROR(#REF!*#REF!^2 /(#REF!/AA35)^2 +#REF! *#REF! /(#REF!/AA35), 0)</f>
        <v>0</v>
      </c>
      <c r="AK35" s="112">
        <f t="shared" si="3"/>
        <v>0</v>
      </c>
      <c r="AL35" s="112">
        <f t="shared" si="11"/>
        <v>0</v>
      </c>
      <c r="AM35" s="110">
        <f t="shared" si="4"/>
        <v>0</v>
      </c>
      <c r="AN35" s="109">
        <f t="shared" si="12"/>
        <v>0</v>
      </c>
      <c r="AO35" s="25"/>
      <c r="AP35" s="80">
        <f t="shared" si="5"/>
        <v>0</v>
      </c>
      <c r="AQ35" s="80">
        <f t="shared" si="13"/>
        <v>0.25</v>
      </c>
      <c r="AR35" s="25"/>
      <c r="AS35" s="66">
        <f t="shared" si="6"/>
        <v>1</v>
      </c>
      <c r="AT35" s="50">
        <f>IFERROR((MATCH(#REF!, $BA$21:$BA$23, 0) - 1)*4, 0)</f>
        <v>0</v>
      </c>
      <c r="AU35" s="48">
        <f>IFERROR(#REF!/2 + IF(J35&lt;0.75, 0, 4), 0)</f>
        <v>0</v>
      </c>
      <c r="AV35" s="48" t="str" cm="1">
        <f t="array" ref="AV35">IF($AU35&gt;0, INDEX($BA$12:$BP$19, $AU35, $AT35+AV$11), "-")</f>
        <v>-</v>
      </c>
      <c r="AW35" s="48" t="str" cm="1">
        <f t="array" ref="AW35">IF($AU35&gt;0, INDEX($BA$12:$BP$19, $AU35, $AT35+AW$11), "-")</f>
        <v>-</v>
      </c>
      <c r="AX35" s="48" t="str" cm="1">
        <f t="array" ref="AX35">IF($AU35&gt;0, INDEX($BA$12:$BP$19, $AU35, $AT35+AX$11), "-")</f>
        <v>-</v>
      </c>
      <c r="AY35" s="48" t="str" cm="1">
        <f t="array" ref="AY35">IF($AU35&gt;0, INDEX($BA$12:$BP$19, $AU35, $AT35+AY$11), "-")</f>
        <v>-</v>
      </c>
      <c r="AZ35" s="44"/>
      <c r="BA35" s="54">
        <v>44.1</v>
      </c>
      <c r="BB35" s="53">
        <v>39.799999999999997</v>
      </c>
      <c r="BC35" s="53">
        <v>79.599999999999994</v>
      </c>
      <c r="BD35" s="53">
        <v>85</v>
      </c>
      <c r="BE35" s="53">
        <v>90.5</v>
      </c>
      <c r="BF35" s="53">
        <v>92.7</v>
      </c>
      <c r="BG35" s="53">
        <v>94.9</v>
      </c>
      <c r="BH35" s="53">
        <v>96.2</v>
      </c>
      <c r="BI35" s="53">
        <v>97.4</v>
      </c>
      <c r="BJ35" s="53">
        <v>98.7</v>
      </c>
      <c r="BK35" s="53">
        <v>100</v>
      </c>
      <c r="BL35" s="53">
        <v>100</v>
      </c>
      <c r="BM35" s="53">
        <v>100</v>
      </c>
      <c r="BN35" s="53">
        <v>100</v>
      </c>
      <c r="BO35" s="53">
        <v>100</v>
      </c>
      <c r="BP35" s="44"/>
      <c r="BQ35" s="44"/>
    </row>
    <row r="36" spans="1:69" s="91" customFormat="1" x14ac:dyDescent="0.2">
      <c r="A36" s="33" cm="1">
        <f t="array" ref="A36">IFERROR(INDEX(Operation, IFERROR(MATCH(#REF!, Y!$B$40:$B$51, 0), IFERROR(MATCH(#REF!, Y!$C$40:$C$51, 0), MATCH(#REF!, Y!$D$40:$D$51, 0))), 4), 0)</f>
        <v>0</v>
      </c>
      <c r="B36" s="105">
        <v>25</v>
      </c>
      <c r="C36" s="7"/>
      <c r="D36" s="7"/>
      <c r="E36" s="30"/>
      <c r="F36" s="8" t="str">
        <f>IF(ISBLANK(E36), "", VLOOKUP(E36, Z!$A$2:$C$4127, 3, FALSE))</f>
        <v/>
      </c>
      <c r="G36" s="60"/>
      <c r="H36" s="124"/>
      <c r="I36" s="34"/>
      <c r="J36" s="40"/>
      <c r="K36" s="41"/>
      <c r="L36" s="40"/>
      <c r="M36" s="31">
        <f t="shared" si="7"/>
        <v>0</v>
      </c>
      <c r="N36" s="7"/>
      <c r="O36" s="7"/>
      <c r="P36" s="61"/>
      <c r="Q36" s="35"/>
      <c r="R36" s="40"/>
      <c r="S36" s="31">
        <f t="shared" si="8"/>
        <v>0</v>
      </c>
      <c r="T36" s="6"/>
      <c r="U36" s="7"/>
      <c r="V36" s="30"/>
      <c r="W36" s="8" t="str">
        <f>IF(ISBLANK(V36), "", VLOOKUP(V36, Z!$A$2:$C$4127, 3, FALSE))</f>
        <v/>
      </c>
      <c r="X36" s="36"/>
      <c r="Y36" s="87">
        <f t="shared" si="9"/>
        <v>0</v>
      </c>
      <c r="Z36" s="21"/>
      <c r="AA36" s="106">
        <f>IFERROR(120*50/#REF!, 0)</f>
        <v>0</v>
      </c>
      <c r="AB36" s="106">
        <f>IFERROR(VLOOKUP($G36, Y!$F$2:$I$10, 4, FALSE), 0)</f>
        <v>0</v>
      </c>
      <c r="AC36" s="107">
        <f>IFERROR(VLOOKUP($G36, Y!$F$2:$I$10, 4, FALSE) * SQRT(H36/3600)/(I36/#REF!)^0.75, 0)</f>
        <v>0</v>
      </c>
      <c r="AD36" s="108">
        <f>IFERROR((88.59*LN(AC36) + 13.46*LN(H36) - 11.48*LN(AC36)^2 -0.85*LN(H36)^2 - 0.38*LN(AC36)*LN(H36) - VLOOKUP(G36,Y!$F$2:$H$10, 2, FALSE) ) / 100, 0)</f>
        <v>0</v>
      </c>
      <c r="AE36" s="109">
        <f t="shared" si="0"/>
        <v>0</v>
      </c>
      <c r="AF36" s="109">
        <f t="shared" si="10"/>
        <v>0</v>
      </c>
      <c r="AG36" s="110">
        <f t="shared" si="1"/>
        <v>0</v>
      </c>
      <c r="AH36" s="111">
        <f t="shared" si="2"/>
        <v>0</v>
      </c>
      <c r="AI36" s="25"/>
      <c r="AJ36" s="108">
        <f>IFERROR(#REF!*#REF!^2 /(#REF!/AA36)^2 +#REF! *#REF! /(#REF!/AA36), 0)</f>
        <v>0</v>
      </c>
      <c r="AK36" s="112">
        <f t="shared" si="3"/>
        <v>0</v>
      </c>
      <c r="AL36" s="112">
        <f t="shared" si="11"/>
        <v>0</v>
      </c>
      <c r="AM36" s="110">
        <f t="shared" si="4"/>
        <v>0</v>
      </c>
      <c r="AN36" s="109">
        <f t="shared" si="12"/>
        <v>0</v>
      </c>
      <c r="AO36" s="25"/>
      <c r="AP36" s="80">
        <f t="shared" si="5"/>
        <v>0</v>
      </c>
      <c r="AQ36" s="80">
        <f t="shared" si="13"/>
        <v>0.25</v>
      </c>
      <c r="AR36" s="25"/>
      <c r="AS36" s="66">
        <f t="shared" si="6"/>
        <v>1</v>
      </c>
      <c r="AT36" s="50">
        <f>IFERROR((MATCH(#REF!, $BA$21:$BA$23, 0) - 1)*4, 0)</f>
        <v>0</v>
      </c>
      <c r="AU36" s="48">
        <f>IFERROR(#REF!/2 + IF(J36&lt;0.75, 0, 4), 0)</f>
        <v>0</v>
      </c>
      <c r="AV36" s="48" t="str" cm="1">
        <f t="array" ref="AV36">IF($AU36&gt;0, INDEX($BA$12:$BP$19, $AU36, $AT36+AV$11), "-")</f>
        <v>-</v>
      </c>
      <c r="AW36" s="48" t="str" cm="1">
        <f t="array" ref="AW36">IF($AU36&gt;0, INDEX($BA$12:$BP$19, $AU36, $AT36+AW$11), "-")</f>
        <v>-</v>
      </c>
      <c r="AX36" s="48" t="str" cm="1">
        <f t="array" ref="AX36">IF($AU36&gt;0, INDEX($BA$12:$BP$19, $AU36, $AT36+AX$11), "-")</f>
        <v>-</v>
      </c>
      <c r="AY36" s="48" t="str" cm="1">
        <f t="array" ref="AY36">IF($AU36&gt;0, INDEX($BA$12:$BP$19, $AU36, $AT36+AY$11), "-")</f>
        <v>-</v>
      </c>
      <c r="AZ36" s="44"/>
      <c r="BA36" s="54">
        <v>58.8</v>
      </c>
      <c r="BB36" s="53">
        <v>41.1</v>
      </c>
      <c r="BC36" s="53">
        <v>82.2</v>
      </c>
      <c r="BD36" s="53">
        <v>87.3</v>
      </c>
      <c r="BE36" s="53">
        <v>92.4</v>
      </c>
      <c r="BF36" s="53">
        <v>94.4</v>
      </c>
      <c r="BG36" s="53">
        <v>96.4</v>
      </c>
      <c r="BH36" s="53">
        <v>97.2</v>
      </c>
      <c r="BI36" s="53">
        <v>98</v>
      </c>
      <c r="BJ36" s="53">
        <v>99</v>
      </c>
      <c r="BK36" s="53">
        <v>100</v>
      </c>
      <c r="BL36" s="53">
        <v>100</v>
      </c>
      <c r="BM36" s="53">
        <v>100</v>
      </c>
      <c r="BN36" s="53">
        <v>100</v>
      </c>
      <c r="BO36" s="53">
        <v>100</v>
      </c>
      <c r="BP36" s="44"/>
      <c r="BQ36" s="44"/>
    </row>
    <row r="37" spans="1:69" s="91" customFormat="1" x14ac:dyDescent="0.2">
      <c r="A37" s="33" cm="1">
        <f t="array" ref="A37">IFERROR(INDEX(Operation, IFERROR(MATCH(#REF!, Y!$B$40:$B$51, 0), IFERROR(MATCH(#REF!, Y!$C$40:$C$51, 0), MATCH(#REF!, Y!$D$40:$D$51, 0))), 4), 0)</f>
        <v>0</v>
      </c>
      <c r="B37" s="105">
        <v>26</v>
      </c>
      <c r="C37" s="7"/>
      <c r="D37" s="7"/>
      <c r="E37" s="30"/>
      <c r="F37" s="8" t="str">
        <f>IF(ISBLANK(E37), "", VLOOKUP(E37, Z!$A$2:$C$4127, 3, FALSE))</f>
        <v/>
      </c>
      <c r="G37" s="60"/>
      <c r="H37" s="124"/>
      <c r="I37" s="34"/>
      <c r="J37" s="40"/>
      <c r="K37" s="41"/>
      <c r="L37" s="40"/>
      <c r="M37" s="31">
        <f t="shared" si="7"/>
        <v>0</v>
      </c>
      <c r="N37" s="7"/>
      <c r="O37" s="7"/>
      <c r="P37" s="61"/>
      <c r="Q37" s="35"/>
      <c r="R37" s="40"/>
      <c r="S37" s="31">
        <f t="shared" si="8"/>
        <v>0</v>
      </c>
      <c r="T37" s="6"/>
      <c r="U37" s="7"/>
      <c r="V37" s="30"/>
      <c r="W37" s="8" t="str">
        <f>IF(ISBLANK(V37), "", VLOOKUP(V37, Z!$A$2:$C$4127, 3, FALSE))</f>
        <v/>
      </c>
      <c r="X37" s="36"/>
      <c r="Y37" s="87">
        <f t="shared" si="9"/>
        <v>0</v>
      </c>
      <c r="Z37" s="21"/>
      <c r="AA37" s="106">
        <f>IFERROR(120*50/#REF!, 0)</f>
        <v>0</v>
      </c>
      <c r="AB37" s="106">
        <f>IFERROR(VLOOKUP($G37, Y!$F$2:$I$10, 4, FALSE), 0)</f>
        <v>0</v>
      </c>
      <c r="AC37" s="107">
        <f>IFERROR(VLOOKUP($G37, Y!$F$2:$I$10, 4, FALSE) * SQRT(H37/3600)/(I37/#REF!)^0.75, 0)</f>
        <v>0</v>
      </c>
      <c r="AD37" s="108">
        <f>IFERROR((88.59*LN(AC37) + 13.46*LN(H37) - 11.48*LN(AC37)^2 -0.85*LN(H37)^2 - 0.38*LN(AC37)*LN(H37) - VLOOKUP(G37,Y!$F$2:$H$10, 2, FALSE) ) / 100, 0)</f>
        <v>0</v>
      </c>
      <c r="AE37" s="109">
        <f t="shared" si="0"/>
        <v>0</v>
      </c>
      <c r="AF37" s="109">
        <f t="shared" si="10"/>
        <v>0</v>
      </c>
      <c r="AG37" s="110">
        <f t="shared" si="1"/>
        <v>0</v>
      </c>
      <c r="AH37" s="111">
        <f t="shared" si="2"/>
        <v>0</v>
      </c>
      <c r="AI37" s="25"/>
      <c r="AJ37" s="108">
        <f>IFERROR(#REF!*#REF!^2 /(#REF!/AA37)^2 +#REF! *#REF! /(#REF!/AA37), 0)</f>
        <v>0</v>
      </c>
      <c r="AK37" s="112">
        <f t="shared" si="3"/>
        <v>0</v>
      </c>
      <c r="AL37" s="112">
        <f t="shared" si="11"/>
        <v>0</v>
      </c>
      <c r="AM37" s="110">
        <f t="shared" si="4"/>
        <v>0</v>
      </c>
      <c r="AN37" s="109">
        <f t="shared" si="12"/>
        <v>0</v>
      </c>
      <c r="AO37" s="25"/>
      <c r="AP37" s="80">
        <f t="shared" si="5"/>
        <v>0</v>
      </c>
      <c r="AQ37" s="80">
        <f t="shared" si="13"/>
        <v>0.25</v>
      </c>
      <c r="AR37" s="25"/>
      <c r="AS37" s="66">
        <f t="shared" si="6"/>
        <v>1</v>
      </c>
      <c r="AT37" s="50">
        <f>IFERROR((MATCH(#REF!, $BA$21:$BA$23, 0) - 1)*4, 0)</f>
        <v>0</v>
      </c>
      <c r="AU37" s="48">
        <f>IFERROR(#REF!/2 + IF(J37&lt;0.75, 0, 4), 0)</f>
        <v>0</v>
      </c>
      <c r="AV37" s="48" t="str" cm="1">
        <f t="array" ref="AV37">IF($AU37&gt;0, INDEX($BA$12:$BP$19, $AU37, $AT37+AV$11), "-")</f>
        <v>-</v>
      </c>
      <c r="AW37" s="48" t="str" cm="1">
        <f t="array" ref="AW37">IF($AU37&gt;0, INDEX($BA$12:$BP$19, $AU37, $AT37+AW$11), "-")</f>
        <v>-</v>
      </c>
      <c r="AX37" s="48" t="str" cm="1">
        <f t="array" ref="AX37">IF($AU37&gt;0, INDEX($BA$12:$BP$19, $AU37, $AT37+AX$11), "-")</f>
        <v>-</v>
      </c>
      <c r="AY37" s="48" t="str" cm="1">
        <f t="array" ref="AY37">IF($AU37&gt;0, INDEX($BA$12:$BP$19, $AU37, $AT37+AY$11), "-")</f>
        <v>-</v>
      </c>
      <c r="AZ37" s="44"/>
      <c r="BA37" s="54">
        <v>73.5</v>
      </c>
      <c r="BB37" s="53">
        <v>42.4</v>
      </c>
      <c r="BC37" s="53">
        <v>84.4</v>
      </c>
      <c r="BD37" s="53">
        <v>89.5</v>
      </c>
      <c r="BE37" s="53">
        <v>94.2</v>
      </c>
      <c r="BF37" s="53">
        <v>96</v>
      </c>
      <c r="BG37" s="53">
        <v>97.8</v>
      </c>
      <c r="BH37" s="53">
        <v>98.2</v>
      </c>
      <c r="BI37" s="53">
        <v>98.6</v>
      </c>
      <c r="BJ37" s="53">
        <v>99.3</v>
      </c>
      <c r="BK37" s="53">
        <v>100</v>
      </c>
      <c r="BL37" s="53">
        <v>100</v>
      </c>
      <c r="BM37" s="53">
        <v>100</v>
      </c>
      <c r="BN37" s="53">
        <v>100</v>
      </c>
      <c r="BO37" s="53">
        <v>100</v>
      </c>
      <c r="BP37" s="44"/>
      <c r="BQ37" s="44"/>
    </row>
    <row r="38" spans="1:69" s="91" customFormat="1" x14ac:dyDescent="0.2">
      <c r="A38" s="33" cm="1">
        <f t="array" ref="A38">IFERROR(INDEX(Operation, IFERROR(MATCH(#REF!, Y!$B$40:$B$51, 0), IFERROR(MATCH(#REF!, Y!$C$40:$C$51, 0), MATCH(#REF!, Y!$D$40:$D$51, 0))), 4), 0)</f>
        <v>0</v>
      </c>
      <c r="B38" s="105">
        <v>27</v>
      </c>
      <c r="C38" s="7"/>
      <c r="D38" s="7"/>
      <c r="E38" s="30"/>
      <c r="F38" s="8" t="str">
        <f>IF(ISBLANK(E38), "", VLOOKUP(E38, Z!$A$2:$C$4127, 3, FALSE))</f>
        <v/>
      </c>
      <c r="G38" s="60"/>
      <c r="H38" s="124"/>
      <c r="I38" s="34"/>
      <c r="J38" s="40"/>
      <c r="K38" s="41"/>
      <c r="L38" s="40"/>
      <c r="M38" s="31">
        <f t="shared" si="7"/>
        <v>0</v>
      </c>
      <c r="N38" s="7"/>
      <c r="O38" s="7"/>
      <c r="P38" s="61"/>
      <c r="Q38" s="35"/>
      <c r="R38" s="40"/>
      <c r="S38" s="31">
        <f t="shared" si="8"/>
        <v>0</v>
      </c>
      <c r="T38" s="6"/>
      <c r="U38" s="7"/>
      <c r="V38" s="30"/>
      <c r="W38" s="8" t="str">
        <f>IF(ISBLANK(V38), "", VLOOKUP(V38, Z!$A$2:$C$4127, 3, FALSE))</f>
        <v/>
      </c>
      <c r="X38" s="36"/>
      <c r="Y38" s="87">
        <f t="shared" si="9"/>
        <v>0</v>
      </c>
      <c r="Z38" s="21"/>
      <c r="AA38" s="106">
        <f>IFERROR(120*50/#REF!, 0)</f>
        <v>0</v>
      </c>
      <c r="AB38" s="106">
        <f>IFERROR(VLOOKUP($G38, Y!$F$2:$I$10, 4, FALSE), 0)</f>
        <v>0</v>
      </c>
      <c r="AC38" s="107">
        <f>IFERROR(VLOOKUP($G38, Y!$F$2:$I$10, 4, FALSE) * SQRT(H38/3600)/(I38/#REF!)^0.75, 0)</f>
        <v>0</v>
      </c>
      <c r="AD38" s="108">
        <f>IFERROR((88.59*LN(AC38) + 13.46*LN(H38) - 11.48*LN(AC38)^2 -0.85*LN(H38)^2 - 0.38*LN(AC38)*LN(H38) - VLOOKUP(G38,Y!$F$2:$H$10, 2, FALSE) ) / 100, 0)</f>
        <v>0</v>
      </c>
      <c r="AE38" s="109">
        <f t="shared" si="0"/>
        <v>0</v>
      </c>
      <c r="AF38" s="109">
        <f t="shared" si="10"/>
        <v>0</v>
      </c>
      <c r="AG38" s="110">
        <f t="shared" si="1"/>
        <v>0</v>
      </c>
      <c r="AH38" s="111">
        <f t="shared" si="2"/>
        <v>0</v>
      </c>
      <c r="AI38" s="25"/>
      <c r="AJ38" s="108">
        <f>IFERROR(#REF!*#REF!^2 /(#REF!/AA38)^2 +#REF! *#REF! /(#REF!/AA38), 0)</f>
        <v>0</v>
      </c>
      <c r="AK38" s="112">
        <f t="shared" si="3"/>
        <v>0</v>
      </c>
      <c r="AL38" s="112">
        <f t="shared" si="11"/>
        <v>0</v>
      </c>
      <c r="AM38" s="110">
        <f t="shared" si="4"/>
        <v>0</v>
      </c>
      <c r="AN38" s="109">
        <f t="shared" si="12"/>
        <v>0</v>
      </c>
      <c r="AO38" s="25"/>
      <c r="AP38" s="80">
        <f t="shared" si="5"/>
        <v>0</v>
      </c>
      <c r="AQ38" s="80">
        <f t="shared" si="13"/>
        <v>0.25</v>
      </c>
      <c r="AR38" s="25"/>
      <c r="AS38" s="66">
        <f t="shared" si="6"/>
        <v>1</v>
      </c>
      <c r="AT38" s="50">
        <f>IFERROR((MATCH(#REF!, $BA$21:$BA$23, 0) - 1)*4, 0)</f>
        <v>0</v>
      </c>
      <c r="AU38" s="48">
        <f>IFERROR(#REF!/2 + IF(J38&lt;0.75, 0, 4), 0)</f>
        <v>0</v>
      </c>
      <c r="AV38" s="48" t="str" cm="1">
        <f t="array" ref="AV38">IF($AU38&gt;0, INDEX($BA$12:$BP$19, $AU38, $AT38+AV$11), "-")</f>
        <v>-</v>
      </c>
      <c r="AW38" s="48" t="str" cm="1">
        <f t="array" ref="AW38">IF($AU38&gt;0, INDEX($BA$12:$BP$19, $AU38, $AT38+AW$11), "-")</f>
        <v>-</v>
      </c>
      <c r="AX38" s="48" t="str" cm="1">
        <f t="array" ref="AX38">IF($AU38&gt;0, INDEX($BA$12:$BP$19, $AU38, $AT38+AX$11), "-")</f>
        <v>-</v>
      </c>
      <c r="AY38" s="48" t="str" cm="1">
        <f t="array" ref="AY38">IF($AU38&gt;0, INDEX($BA$12:$BP$19, $AU38, $AT38+AY$11), "-")</f>
        <v>-</v>
      </c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</row>
    <row r="39" spans="1:69" s="91" customFormat="1" x14ac:dyDescent="0.2">
      <c r="A39" s="33" cm="1">
        <f t="array" ref="A39">IFERROR(INDEX(Operation, IFERROR(MATCH(#REF!, Y!$B$40:$B$51, 0), IFERROR(MATCH(#REF!, Y!$C$40:$C$51, 0), MATCH(#REF!, Y!$D$40:$D$51, 0))), 4), 0)</f>
        <v>0</v>
      </c>
      <c r="B39" s="105">
        <v>28</v>
      </c>
      <c r="C39" s="7"/>
      <c r="D39" s="7"/>
      <c r="E39" s="30"/>
      <c r="F39" s="8" t="str">
        <f>IF(ISBLANK(E39), "", VLOOKUP(E39, Z!$A$2:$C$4127, 3, FALSE))</f>
        <v/>
      </c>
      <c r="G39" s="60"/>
      <c r="H39" s="124"/>
      <c r="I39" s="34"/>
      <c r="J39" s="40"/>
      <c r="K39" s="41"/>
      <c r="L39" s="40"/>
      <c r="M39" s="31">
        <f t="shared" si="7"/>
        <v>0</v>
      </c>
      <c r="N39" s="7"/>
      <c r="O39" s="7"/>
      <c r="P39" s="61"/>
      <c r="Q39" s="35"/>
      <c r="R39" s="40"/>
      <c r="S39" s="31">
        <f t="shared" si="8"/>
        <v>0</v>
      </c>
      <c r="T39" s="6"/>
      <c r="U39" s="7"/>
      <c r="V39" s="30"/>
      <c r="W39" s="8" t="str">
        <f>IF(ISBLANK(V39), "", VLOOKUP(V39, Z!$A$2:$C$4127, 3, FALSE))</f>
        <v/>
      </c>
      <c r="X39" s="36"/>
      <c r="Y39" s="87">
        <f t="shared" si="9"/>
        <v>0</v>
      </c>
      <c r="Z39" s="21"/>
      <c r="AA39" s="106">
        <f>IFERROR(120*50/#REF!, 0)</f>
        <v>0</v>
      </c>
      <c r="AB39" s="106">
        <f>IFERROR(VLOOKUP($G39, Y!$F$2:$I$10, 4, FALSE), 0)</f>
        <v>0</v>
      </c>
      <c r="AC39" s="107">
        <f>IFERROR(VLOOKUP($G39, Y!$F$2:$I$10, 4, FALSE) * SQRT(H39/3600)/(I39/#REF!)^0.75, 0)</f>
        <v>0</v>
      </c>
      <c r="AD39" s="108">
        <f>IFERROR((88.59*LN(AC39) + 13.46*LN(H39) - 11.48*LN(AC39)^2 -0.85*LN(H39)^2 - 0.38*LN(AC39)*LN(H39) - VLOOKUP(G39,Y!$F$2:$H$10, 2, FALSE) ) / 100, 0)</f>
        <v>0</v>
      </c>
      <c r="AE39" s="109">
        <f t="shared" si="0"/>
        <v>0</v>
      </c>
      <c r="AF39" s="109">
        <f t="shared" si="10"/>
        <v>0</v>
      </c>
      <c r="AG39" s="110">
        <f t="shared" si="1"/>
        <v>0</v>
      </c>
      <c r="AH39" s="111">
        <f t="shared" si="2"/>
        <v>0</v>
      </c>
      <c r="AI39" s="25"/>
      <c r="AJ39" s="108">
        <f>IFERROR(#REF!*#REF!^2 /(#REF!/AA39)^2 +#REF! *#REF! /(#REF!/AA39), 0)</f>
        <v>0</v>
      </c>
      <c r="AK39" s="112">
        <f t="shared" si="3"/>
        <v>0</v>
      </c>
      <c r="AL39" s="112">
        <f t="shared" si="11"/>
        <v>0</v>
      </c>
      <c r="AM39" s="110">
        <f t="shared" si="4"/>
        <v>0</v>
      </c>
      <c r="AN39" s="109">
        <f t="shared" si="12"/>
        <v>0</v>
      </c>
      <c r="AO39" s="25"/>
      <c r="AP39" s="80">
        <f t="shared" si="5"/>
        <v>0</v>
      </c>
      <c r="AQ39" s="80">
        <f t="shared" si="13"/>
        <v>0.25</v>
      </c>
      <c r="AR39" s="25"/>
      <c r="AS39" s="66">
        <f t="shared" si="6"/>
        <v>1</v>
      </c>
      <c r="AT39" s="50">
        <f>IFERROR((MATCH(#REF!, $BA$21:$BA$23, 0) - 1)*4, 0)</f>
        <v>0</v>
      </c>
      <c r="AU39" s="48">
        <f>IFERROR(#REF!/2 + IF(J39&lt;0.75, 0, 4), 0)</f>
        <v>0</v>
      </c>
      <c r="AV39" s="48" t="str" cm="1">
        <f t="array" ref="AV39">IF($AU39&gt;0, INDEX($BA$12:$BP$19, $AU39, $AT39+AV$11), "-")</f>
        <v>-</v>
      </c>
      <c r="AW39" s="48" t="str" cm="1">
        <f t="array" ref="AW39">IF($AU39&gt;0, INDEX($BA$12:$BP$19, $AU39, $AT39+AW$11), "-")</f>
        <v>-</v>
      </c>
      <c r="AX39" s="48" t="str" cm="1">
        <f t="array" ref="AX39">IF($AU39&gt;0, INDEX($BA$12:$BP$19, $AU39, $AT39+AX$11), "-")</f>
        <v>-</v>
      </c>
      <c r="AY39" s="48" t="str" cm="1">
        <f t="array" ref="AY39">IF($AU39&gt;0, INDEX($BA$12:$BP$19, $AU39, $AT39+AY$11), "-")</f>
        <v>-</v>
      </c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</row>
    <row r="40" spans="1:69" s="91" customFormat="1" x14ac:dyDescent="0.2">
      <c r="A40" s="33" cm="1">
        <f t="array" ref="A40">IFERROR(INDEX(Operation, IFERROR(MATCH(#REF!, Y!$B$40:$B$51, 0), IFERROR(MATCH(#REF!, Y!$C$40:$C$51, 0), MATCH(#REF!, Y!$D$40:$D$51, 0))), 4), 0)</f>
        <v>0</v>
      </c>
      <c r="B40" s="105">
        <v>29</v>
      </c>
      <c r="C40" s="7"/>
      <c r="D40" s="7"/>
      <c r="E40" s="30"/>
      <c r="F40" s="8" t="str">
        <f>IF(ISBLANK(E40), "", VLOOKUP(E40, Z!$A$2:$C$4127, 3, FALSE))</f>
        <v/>
      </c>
      <c r="G40" s="60"/>
      <c r="H40" s="124"/>
      <c r="I40" s="34"/>
      <c r="J40" s="40"/>
      <c r="K40" s="41"/>
      <c r="L40" s="40"/>
      <c r="M40" s="31">
        <f t="shared" si="7"/>
        <v>0</v>
      </c>
      <c r="N40" s="7"/>
      <c r="O40" s="7"/>
      <c r="P40" s="61"/>
      <c r="Q40" s="35"/>
      <c r="R40" s="40"/>
      <c r="S40" s="31">
        <f t="shared" si="8"/>
        <v>0</v>
      </c>
      <c r="T40" s="6"/>
      <c r="U40" s="7"/>
      <c r="V40" s="30"/>
      <c r="W40" s="8" t="str">
        <f>IF(ISBLANK(V40), "", VLOOKUP(V40, Z!$A$2:$C$4127, 3, FALSE))</f>
        <v/>
      </c>
      <c r="X40" s="36"/>
      <c r="Y40" s="87">
        <f t="shared" si="9"/>
        <v>0</v>
      </c>
      <c r="Z40" s="21"/>
      <c r="AA40" s="106">
        <f>IFERROR(120*50/#REF!, 0)</f>
        <v>0</v>
      </c>
      <c r="AB40" s="106">
        <f>IFERROR(VLOOKUP($G40, Y!$F$2:$I$10, 4, FALSE), 0)</f>
        <v>0</v>
      </c>
      <c r="AC40" s="107">
        <f>IFERROR(VLOOKUP($G40, Y!$F$2:$I$10, 4, FALSE) * SQRT(H40/3600)/(I40/#REF!)^0.75, 0)</f>
        <v>0</v>
      </c>
      <c r="AD40" s="108">
        <f>IFERROR((88.59*LN(AC40) + 13.46*LN(H40) - 11.48*LN(AC40)^2 -0.85*LN(H40)^2 - 0.38*LN(AC40)*LN(H40) - VLOOKUP(G40,Y!$F$2:$H$10, 2, FALSE) ) / 100, 0)</f>
        <v>0</v>
      </c>
      <c r="AE40" s="109">
        <f t="shared" si="0"/>
        <v>0</v>
      </c>
      <c r="AF40" s="109">
        <f t="shared" si="10"/>
        <v>0</v>
      </c>
      <c r="AG40" s="110">
        <f t="shared" si="1"/>
        <v>0</v>
      </c>
      <c r="AH40" s="111">
        <f t="shared" si="2"/>
        <v>0</v>
      </c>
      <c r="AI40" s="25"/>
      <c r="AJ40" s="108">
        <f>IFERROR(#REF!*#REF!^2 /(#REF!/AA40)^2 +#REF! *#REF! /(#REF!/AA40), 0)</f>
        <v>0</v>
      </c>
      <c r="AK40" s="112">
        <f t="shared" si="3"/>
        <v>0</v>
      </c>
      <c r="AL40" s="112">
        <f t="shared" si="11"/>
        <v>0</v>
      </c>
      <c r="AM40" s="110">
        <f t="shared" si="4"/>
        <v>0</v>
      </c>
      <c r="AN40" s="109">
        <f t="shared" si="12"/>
        <v>0</v>
      </c>
      <c r="AO40" s="25"/>
      <c r="AP40" s="80">
        <f t="shared" si="5"/>
        <v>0</v>
      </c>
      <c r="AQ40" s="80">
        <f t="shared" si="13"/>
        <v>0.25</v>
      </c>
      <c r="AR40" s="25"/>
      <c r="AS40" s="66">
        <f t="shared" si="6"/>
        <v>1</v>
      </c>
      <c r="AT40" s="50">
        <f>IFERROR((MATCH(#REF!, $BA$21:$BA$23, 0) - 1)*4, 0)</f>
        <v>0</v>
      </c>
      <c r="AU40" s="48">
        <f>IFERROR(#REF!/2 + IF(J40&lt;0.75, 0, 4), 0)</f>
        <v>0</v>
      </c>
      <c r="AV40" s="48" t="str" cm="1">
        <f t="array" ref="AV40">IF($AU40&gt;0, INDEX($BA$12:$BP$19, $AU40, $AT40+AV$11), "-")</f>
        <v>-</v>
      </c>
      <c r="AW40" s="48" t="str" cm="1">
        <f t="array" ref="AW40">IF($AU40&gt;0, INDEX($BA$12:$BP$19, $AU40, $AT40+AW$11), "-")</f>
        <v>-</v>
      </c>
      <c r="AX40" s="48" t="str" cm="1">
        <f t="array" ref="AX40">IF($AU40&gt;0, INDEX($BA$12:$BP$19, $AU40, $AT40+AX$11), "-")</f>
        <v>-</v>
      </c>
      <c r="AY40" s="48" t="str" cm="1">
        <f t="array" ref="AY40">IF($AU40&gt;0, INDEX($BA$12:$BP$19, $AU40, $AT40+AY$11), "-")</f>
        <v>-</v>
      </c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</row>
    <row r="41" spans="1:69" s="91" customFormat="1" x14ac:dyDescent="0.2">
      <c r="A41" s="33" cm="1">
        <f t="array" ref="A41">IFERROR(INDEX(Operation, IFERROR(MATCH(#REF!, Y!$B$40:$B$51, 0), IFERROR(MATCH(#REF!, Y!$C$40:$C$51, 0), MATCH(#REF!, Y!$D$40:$D$51, 0))), 4), 0)</f>
        <v>0</v>
      </c>
      <c r="B41" s="105">
        <v>30</v>
      </c>
      <c r="C41" s="7"/>
      <c r="D41" s="7"/>
      <c r="E41" s="30"/>
      <c r="F41" s="8" t="str">
        <f>IF(ISBLANK(E41), "", VLOOKUP(E41, Z!$A$2:$C$4127, 3, FALSE))</f>
        <v/>
      </c>
      <c r="G41" s="60"/>
      <c r="H41" s="124"/>
      <c r="I41" s="34"/>
      <c r="J41" s="40"/>
      <c r="K41" s="41"/>
      <c r="L41" s="40"/>
      <c r="M41" s="31">
        <f t="shared" si="7"/>
        <v>0</v>
      </c>
      <c r="N41" s="7"/>
      <c r="O41" s="7"/>
      <c r="P41" s="61"/>
      <c r="Q41" s="35"/>
      <c r="R41" s="40"/>
      <c r="S41" s="31">
        <f t="shared" si="8"/>
        <v>0</v>
      </c>
      <c r="T41" s="6"/>
      <c r="U41" s="7"/>
      <c r="V41" s="30"/>
      <c r="W41" s="8" t="str">
        <f>IF(ISBLANK(V41), "", VLOOKUP(V41, Z!$A$2:$C$4127, 3, FALSE))</f>
        <v/>
      </c>
      <c r="X41" s="36"/>
      <c r="Y41" s="87">
        <f t="shared" si="9"/>
        <v>0</v>
      </c>
      <c r="Z41" s="21"/>
      <c r="AA41" s="106">
        <f>IFERROR(120*50/#REF!, 0)</f>
        <v>0</v>
      </c>
      <c r="AB41" s="106">
        <f>IFERROR(VLOOKUP($G41, Y!$F$2:$I$10, 4, FALSE), 0)</f>
        <v>0</v>
      </c>
      <c r="AC41" s="107">
        <f>IFERROR(VLOOKUP($G41, Y!$F$2:$I$10, 4, FALSE) * SQRT(H41/3600)/(I41/#REF!)^0.75, 0)</f>
        <v>0</v>
      </c>
      <c r="AD41" s="108">
        <f>IFERROR((88.59*LN(AC41) + 13.46*LN(H41) - 11.48*LN(AC41)^2 -0.85*LN(H41)^2 - 0.38*LN(AC41)*LN(H41) - VLOOKUP(G41,Y!$F$2:$H$10, 2, FALSE) ) / 100, 0)</f>
        <v>0</v>
      </c>
      <c r="AE41" s="109">
        <f t="shared" si="0"/>
        <v>0</v>
      </c>
      <c r="AF41" s="109">
        <f t="shared" si="10"/>
        <v>0</v>
      </c>
      <c r="AG41" s="110">
        <f t="shared" si="1"/>
        <v>0</v>
      </c>
      <c r="AH41" s="111">
        <f t="shared" si="2"/>
        <v>0</v>
      </c>
      <c r="AI41" s="25"/>
      <c r="AJ41" s="108">
        <f>IFERROR(#REF!*#REF!^2 /(#REF!/AA41)^2 +#REF! *#REF! /(#REF!/AA41), 0)</f>
        <v>0</v>
      </c>
      <c r="AK41" s="112">
        <f t="shared" si="3"/>
        <v>0</v>
      </c>
      <c r="AL41" s="112">
        <f t="shared" si="11"/>
        <v>0</v>
      </c>
      <c r="AM41" s="110">
        <f t="shared" si="4"/>
        <v>0</v>
      </c>
      <c r="AN41" s="109">
        <f t="shared" si="12"/>
        <v>0</v>
      </c>
      <c r="AO41" s="25"/>
      <c r="AP41" s="80">
        <f t="shared" si="5"/>
        <v>0</v>
      </c>
      <c r="AQ41" s="80">
        <f t="shared" si="13"/>
        <v>0.25</v>
      </c>
      <c r="AR41" s="25"/>
      <c r="AS41" s="66">
        <f t="shared" si="6"/>
        <v>1</v>
      </c>
      <c r="AT41" s="50">
        <f>IFERROR((MATCH(#REF!, $BA$21:$BA$23, 0) - 1)*4, 0)</f>
        <v>0</v>
      </c>
      <c r="AU41" s="48">
        <f>IFERROR(#REF!/2 + IF(J41&lt;0.75, 0, 4), 0)</f>
        <v>0</v>
      </c>
      <c r="AV41" s="48" t="str" cm="1">
        <f t="array" ref="AV41">IF($AU41&gt;0, INDEX($BA$12:$BP$19, $AU41, $AT41+AV$11), "-")</f>
        <v>-</v>
      </c>
      <c r="AW41" s="48" t="str" cm="1">
        <f t="array" ref="AW41">IF($AU41&gt;0, INDEX($BA$12:$BP$19, $AU41, $AT41+AW$11), "-")</f>
        <v>-</v>
      </c>
      <c r="AX41" s="48" t="str" cm="1">
        <f t="array" ref="AX41">IF($AU41&gt;0, INDEX($BA$12:$BP$19, $AU41, $AT41+AX$11), "-")</f>
        <v>-</v>
      </c>
      <c r="AY41" s="48" t="str" cm="1">
        <f t="array" ref="AY41">IF($AU41&gt;0, INDEX($BA$12:$BP$19, $AU41, $AT41+AY$11), "-")</f>
        <v>-</v>
      </c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</row>
    <row r="42" spans="1:69" s="91" customFormat="1" x14ac:dyDescent="0.2">
      <c r="A42" s="33" cm="1">
        <f t="array" ref="A42">IFERROR(INDEX(Operation, IFERROR(MATCH(#REF!, Y!$B$40:$B$51, 0), IFERROR(MATCH(#REF!, Y!$C$40:$C$51, 0), MATCH(#REF!, Y!$D$40:$D$51, 0))), 4), 0)</f>
        <v>0</v>
      </c>
      <c r="B42" s="105">
        <v>31</v>
      </c>
      <c r="C42" s="7"/>
      <c r="D42" s="7"/>
      <c r="E42" s="30"/>
      <c r="F42" s="8" t="str">
        <f>IF(ISBLANK(E42), "", VLOOKUP(E42, Z!$A$2:$C$4127, 3, FALSE))</f>
        <v/>
      </c>
      <c r="G42" s="60"/>
      <c r="H42" s="124"/>
      <c r="I42" s="34"/>
      <c r="J42" s="40"/>
      <c r="K42" s="41"/>
      <c r="L42" s="40"/>
      <c r="M42" s="31">
        <f t="shared" si="7"/>
        <v>0</v>
      </c>
      <c r="N42" s="7"/>
      <c r="O42" s="7"/>
      <c r="P42" s="61"/>
      <c r="Q42" s="35"/>
      <c r="R42" s="40"/>
      <c r="S42" s="31">
        <f t="shared" si="8"/>
        <v>0</v>
      </c>
      <c r="T42" s="6"/>
      <c r="U42" s="7"/>
      <c r="V42" s="30"/>
      <c r="W42" s="8" t="str">
        <f>IF(ISBLANK(V42), "", VLOOKUP(V42, Z!$A$2:$C$4127, 3, FALSE))</f>
        <v/>
      </c>
      <c r="X42" s="36"/>
      <c r="Y42" s="87">
        <f t="shared" si="9"/>
        <v>0</v>
      </c>
      <c r="Z42" s="21"/>
      <c r="AA42" s="106">
        <f>IFERROR(120*50/#REF!, 0)</f>
        <v>0</v>
      </c>
      <c r="AB42" s="106">
        <f>IFERROR(VLOOKUP($G42, Y!$F$2:$I$10, 4, FALSE), 0)</f>
        <v>0</v>
      </c>
      <c r="AC42" s="107">
        <f>IFERROR(VLOOKUP($G42, Y!$F$2:$I$10, 4, FALSE) * SQRT(H42/3600)/(I42/#REF!)^0.75, 0)</f>
        <v>0</v>
      </c>
      <c r="AD42" s="108">
        <f>IFERROR((88.59*LN(AC42) + 13.46*LN(H42) - 11.48*LN(AC42)^2 -0.85*LN(H42)^2 - 0.38*LN(AC42)*LN(H42) - VLOOKUP(G42,Y!$F$2:$H$10, 2, FALSE) ) / 100, 0)</f>
        <v>0</v>
      </c>
      <c r="AE42" s="109">
        <f t="shared" si="0"/>
        <v>0</v>
      </c>
      <c r="AF42" s="109">
        <f t="shared" si="10"/>
        <v>0</v>
      </c>
      <c r="AG42" s="110">
        <f t="shared" si="1"/>
        <v>0</v>
      </c>
      <c r="AH42" s="111">
        <f t="shared" si="2"/>
        <v>0</v>
      </c>
      <c r="AI42" s="25"/>
      <c r="AJ42" s="108">
        <f>IFERROR(#REF!*#REF!^2 /(#REF!/AA42)^2 +#REF! *#REF! /(#REF!/AA42), 0)</f>
        <v>0</v>
      </c>
      <c r="AK42" s="112">
        <f t="shared" si="3"/>
        <v>0</v>
      </c>
      <c r="AL42" s="112">
        <f t="shared" si="11"/>
        <v>0</v>
      </c>
      <c r="AM42" s="110">
        <f t="shared" si="4"/>
        <v>0</v>
      </c>
      <c r="AN42" s="109">
        <f t="shared" si="12"/>
        <v>0</v>
      </c>
      <c r="AO42" s="25"/>
      <c r="AP42" s="80">
        <f t="shared" si="5"/>
        <v>0</v>
      </c>
      <c r="AQ42" s="80">
        <f t="shared" si="13"/>
        <v>0.25</v>
      </c>
      <c r="AR42" s="25"/>
      <c r="AS42" s="66">
        <f t="shared" si="6"/>
        <v>1</v>
      </c>
      <c r="AT42" s="50">
        <f>IFERROR((MATCH(#REF!, $BA$21:$BA$23, 0) - 1)*4, 0)</f>
        <v>0</v>
      </c>
      <c r="AU42" s="48">
        <f>IFERROR(#REF!/2 + IF(J42&lt;0.75, 0, 4), 0)</f>
        <v>0</v>
      </c>
      <c r="AV42" s="48" t="str" cm="1">
        <f t="array" ref="AV42">IF($AU42&gt;0, INDEX($BA$12:$BP$19, $AU42, $AT42+AV$11), "-")</f>
        <v>-</v>
      </c>
      <c r="AW42" s="48" t="str" cm="1">
        <f t="array" ref="AW42">IF($AU42&gt;0, INDEX($BA$12:$BP$19, $AU42, $AT42+AW$11), "-")</f>
        <v>-</v>
      </c>
      <c r="AX42" s="48" t="str" cm="1">
        <f t="array" ref="AX42">IF($AU42&gt;0, INDEX($BA$12:$BP$19, $AU42, $AT42+AX$11), "-")</f>
        <v>-</v>
      </c>
      <c r="AY42" s="48" t="str" cm="1">
        <f t="array" ref="AY42">IF($AU42&gt;0, INDEX($BA$12:$BP$19, $AU42, $AT42+AY$11), "-")</f>
        <v>-</v>
      </c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</row>
    <row r="43" spans="1:69" s="91" customFormat="1" x14ac:dyDescent="0.2">
      <c r="A43" s="33" cm="1">
        <f t="array" ref="A43">IFERROR(INDEX(Operation, IFERROR(MATCH(#REF!, Y!$B$40:$B$51, 0), IFERROR(MATCH(#REF!, Y!$C$40:$C$51, 0), MATCH(#REF!, Y!$D$40:$D$51, 0))), 4), 0)</f>
        <v>0</v>
      </c>
      <c r="B43" s="105">
        <v>32</v>
      </c>
      <c r="C43" s="7"/>
      <c r="D43" s="7"/>
      <c r="E43" s="30"/>
      <c r="F43" s="8" t="str">
        <f>IF(ISBLANK(E43), "", VLOOKUP(E43, Z!$A$2:$C$4127, 3, FALSE))</f>
        <v/>
      </c>
      <c r="G43" s="60"/>
      <c r="H43" s="124"/>
      <c r="I43" s="34"/>
      <c r="J43" s="40"/>
      <c r="K43" s="41"/>
      <c r="L43" s="40"/>
      <c r="M43" s="31">
        <f t="shared" si="7"/>
        <v>0</v>
      </c>
      <c r="N43" s="7"/>
      <c r="O43" s="7"/>
      <c r="P43" s="61"/>
      <c r="Q43" s="35"/>
      <c r="R43" s="40"/>
      <c r="S43" s="31">
        <f t="shared" si="8"/>
        <v>0</v>
      </c>
      <c r="T43" s="6"/>
      <c r="U43" s="7"/>
      <c r="V43" s="30"/>
      <c r="W43" s="8" t="str">
        <f>IF(ISBLANK(V43), "", VLOOKUP(V43, Z!$A$2:$C$4127, 3, FALSE))</f>
        <v/>
      </c>
      <c r="X43" s="36"/>
      <c r="Y43" s="87">
        <f t="shared" si="9"/>
        <v>0</v>
      </c>
      <c r="Z43" s="21"/>
      <c r="AA43" s="106">
        <f>IFERROR(120*50/#REF!, 0)</f>
        <v>0</v>
      </c>
      <c r="AB43" s="106">
        <f>IFERROR(VLOOKUP($G43, Y!$F$2:$I$10, 4, FALSE), 0)</f>
        <v>0</v>
      </c>
      <c r="AC43" s="107">
        <f>IFERROR(VLOOKUP($G43, Y!$F$2:$I$10, 4, FALSE) * SQRT(H43/3600)/(I43/#REF!)^0.75, 0)</f>
        <v>0</v>
      </c>
      <c r="AD43" s="108">
        <f>IFERROR((88.59*LN(AC43) + 13.46*LN(H43) - 11.48*LN(AC43)^2 -0.85*LN(H43)^2 - 0.38*LN(AC43)*LN(H43) - VLOOKUP(G43,Y!$F$2:$H$10, 2, FALSE) ) / 100, 0)</f>
        <v>0</v>
      </c>
      <c r="AE43" s="109">
        <f t="shared" si="0"/>
        <v>0</v>
      </c>
      <c r="AF43" s="109">
        <f t="shared" si="10"/>
        <v>0</v>
      </c>
      <c r="AG43" s="110">
        <f t="shared" si="1"/>
        <v>0</v>
      </c>
      <c r="AH43" s="111">
        <f t="shared" si="2"/>
        <v>0</v>
      </c>
      <c r="AI43" s="25"/>
      <c r="AJ43" s="108">
        <f>IFERROR(#REF!*#REF!^2 /(#REF!/AA43)^2 +#REF! *#REF! /(#REF!/AA43), 0)</f>
        <v>0</v>
      </c>
      <c r="AK43" s="112">
        <f t="shared" si="3"/>
        <v>0</v>
      </c>
      <c r="AL43" s="112">
        <f t="shared" si="11"/>
        <v>0</v>
      </c>
      <c r="AM43" s="110">
        <f t="shared" si="4"/>
        <v>0</v>
      </c>
      <c r="AN43" s="109">
        <f t="shared" si="12"/>
        <v>0</v>
      </c>
      <c r="AO43" s="25"/>
      <c r="AP43" s="80">
        <f t="shared" si="5"/>
        <v>0</v>
      </c>
      <c r="AQ43" s="80">
        <f t="shared" si="13"/>
        <v>0.25</v>
      </c>
      <c r="AR43" s="25"/>
      <c r="AS43" s="66">
        <f t="shared" si="6"/>
        <v>1</v>
      </c>
      <c r="AT43" s="50">
        <f>IFERROR((MATCH(#REF!, $BA$21:$BA$23, 0) - 1)*4, 0)</f>
        <v>0</v>
      </c>
      <c r="AU43" s="48">
        <f>IFERROR(#REF!/2 + IF(J43&lt;0.75, 0, 4), 0)</f>
        <v>0</v>
      </c>
      <c r="AV43" s="48" t="str" cm="1">
        <f t="array" ref="AV43">IF($AU43&gt;0, INDEX($BA$12:$BP$19, $AU43, $AT43+AV$11), "-")</f>
        <v>-</v>
      </c>
      <c r="AW43" s="48" t="str" cm="1">
        <f t="array" ref="AW43">IF($AU43&gt;0, INDEX($BA$12:$BP$19, $AU43, $AT43+AW$11), "-")</f>
        <v>-</v>
      </c>
      <c r="AX43" s="48" t="str" cm="1">
        <f t="array" ref="AX43">IF($AU43&gt;0, INDEX($BA$12:$BP$19, $AU43, $AT43+AX$11), "-")</f>
        <v>-</v>
      </c>
      <c r="AY43" s="48" t="str" cm="1">
        <f t="array" ref="AY43">IF($AU43&gt;0, INDEX($BA$12:$BP$19, $AU43, $AT43+AY$11), "-")</f>
        <v>-</v>
      </c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</row>
    <row r="44" spans="1:69" s="91" customFormat="1" x14ac:dyDescent="0.2">
      <c r="A44" s="33" cm="1">
        <f t="array" ref="A44">IFERROR(INDEX(Operation, IFERROR(MATCH(#REF!, Y!$B$40:$B$51, 0), IFERROR(MATCH(#REF!, Y!$C$40:$C$51, 0), MATCH(#REF!, Y!$D$40:$D$51, 0))), 4), 0)</f>
        <v>0</v>
      </c>
      <c r="B44" s="105">
        <v>33</v>
      </c>
      <c r="C44" s="7"/>
      <c r="D44" s="7"/>
      <c r="E44" s="30"/>
      <c r="F44" s="8" t="str">
        <f>IF(ISBLANK(E44), "", VLOOKUP(E44, Z!$A$2:$C$4127, 3, FALSE))</f>
        <v/>
      </c>
      <c r="G44" s="60"/>
      <c r="H44" s="124"/>
      <c r="I44" s="34"/>
      <c r="J44" s="40"/>
      <c r="K44" s="41"/>
      <c r="L44" s="40"/>
      <c r="M44" s="31">
        <f t="shared" si="7"/>
        <v>0</v>
      </c>
      <c r="N44" s="7"/>
      <c r="O44" s="7"/>
      <c r="P44" s="61"/>
      <c r="Q44" s="35"/>
      <c r="R44" s="40"/>
      <c r="S44" s="31">
        <f t="shared" si="8"/>
        <v>0</v>
      </c>
      <c r="T44" s="6"/>
      <c r="U44" s="7"/>
      <c r="V44" s="30"/>
      <c r="W44" s="8" t="str">
        <f>IF(ISBLANK(V44), "", VLOOKUP(V44, Z!$A$2:$C$4127, 3, FALSE))</f>
        <v/>
      </c>
      <c r="X44" s="36"/>
      <c r="Y44" s="87">
        <f t="shared" si="9"/>
        <v>0</v>
      </c>
      <c r="Z44" s="21"/>
      <c r="AA44" s="106">
        <f>IFERROR(120*50/#REF!, 0)</f>
        <v>0</v>
      </c>
      <c r="AB44" s="106">
        <f>IFERROR(VLOOKUP($G44, Y!$F$2:$I$10, 4, FALSE), 0)</f>
        <v>0</v>
      </c>
      <c r="AC44" s="107">
        <f>IFERROR(VLOOKUP($G44, Y!$F$2:$I$10, 4, FALSE) * SQRT(H44/3600)/(I44/#REF!)^0.75, 0)</f>
        <v>0</v>
      </c>
      <c r="AD44" s="108">
        <f>IFERROR((88.59*LN(AC44) + 13.46*LN(H44) - 11.48*LN(AC44)^2 -0.85*LN(H44)^2 - 0.38*LN(AC44)*LN(H44) - VLOOKUP(G44,Y!$F$2:$H$10, 2, FALSE) ) / 100, 0)</f>
        <v>0</v>
      </c>
      <c r="AE44" s="109">
        <f t="shared" ref="AE44:AE75" si="14">IFERROR(H44*I44*9.81/3600, 0)</f>
        <v>0</v>
      </c>
      <c r="AF44" s="109">
        <f t="shared" si="10"/>
        <v>0</v>
      </c>
      <c r="AG44" s="110">
        <f t="shared" ref="AG44:AG75" si="15">IFERROR(AF44/J44, 0)</f>
        <v>0</v>
      </c>
      <c r="AH44" s="111">
        <f t="shared" ref="AH44:AH75" si="16">AF44/AS44</f>
        <v>0</v>
      </c>
      <c r="AI44" s="25"/>
      <c r="AJ44" s="108">
        <f>IFERROR(#REF!*#REF!^2 /(#REF!/AA44)^2 +#REF! *#REF! /(#REF!/AA44), 0)</f>
        <v>0</v>
      </c>
      <c r="AK44" s="112">
        <f t="shared" ref="AK44:AK75" si="17">P44*Q44*9.81/3600</f>
        <v>0</v>
      </c>
      <c r="AL44" s="112">
        <f t="shared" si="11"/>
        <v>0</v>
      </c>
      <c r="AM44" s="110">
        <f t="shared" ref="AM44:AM75" si="18">IFERROR(AL44/J44, 0)</f>
        <v>0</v>
      </c>
      <c r="AN44" s="109">
        <f t="shared" si="12"/>
        <v>0</v>
      </c>
      <c r="AO44" s="25"/>
      <c r="AP44" s="80">
        <f t="shared" ref="AP44:AP75" si="19">IFERROR((79+22*(1-1/(LOG10(40*J44))))/100, 0)</f>
        <v>0</v>
      </c>
      <c r="AQ44" s="80">
        <f t="shared" si="13"/>
        <v>0.25</v>
      </c>
      <c r="AR44" s="25"/>
      <c r="AS44" s="66">
        <f t="shared" ref="AS44:AS75" si="20">IFERROR((AV44*LOG(J44)^3 + AW44*LOG(J44)^2 + AX44*LOG(J44) + AY44) / 100, 1)</f>
        <v>1</v>
      </c>
      <c r="AT44" s="50">
        <f>IFERROR((MATCH(#REF!, $BA$21:$BA$23, 0) - 1)*4, 0)</f>
        <v>0</v>
      </c>
      <c r="AU44" s="48">
        <f>IFERROR(#REF!/2 + IF(J44&lt;0.75, 0, 4), 0)</f>
        <v>0</v>
      </c>
      <c r="AV44" s="48" t="str" cm="1">
        <f t="array" ref="AV44">IF($AU44&gt;0, INDEX($BA$12:$BP$19, $AU44, $AT44+AV$11), "-")</f>
        <v>-</v>
      </c>
      <c r="AW44" s="48" t="str" cm="1">
        <f t="array" ref="AW44">IF($AU44&gt;0, INDEX($BA$12:$BP$19, $AU44, $AT44+AW$11), "-")</f>
        <v>-</v>
      </c>
      <c r="AX44" s="48" t="str" cm="1">
        <f t="array" ref="AX44">IF($AU44&gt;0, INDEX($BA$12:$BP$19, $AU44, $AT44+AX$11), "-")</f>
        <v>-</v>
      </c>
      <c r="AY44" s="48" t="str" cm="1">
        <f t="array" ref="AY44">IF($AU44&gt;0, INDEX($BA$12:$BP$19, $AU44, $AT44+AY$11), "-")</f>
        <v>-</v>
      </c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</row>
    <row r="45" spans="1:69" s="91" customFormat="1" x14ac:dyDescent="0.2">
      <c r="A45" s="33" cm="1">
        <f t="array" ref="A45">IFERROR(INDEX(Operation, IFERROR(MATCH(#REF!, Y!$B$40:$B$51, 0), IFERROR(MATCH(#REF!, Y!$C$40:$C$51, 0), MATCH(#REF!, Y!$D$40:$D$51, 0))), 4), 0)</f>
        <v>0</v>
      </c>
      <c r="B45" s="105">
        <v>34</v>
      </c>
      <c r="C45" s="7"/>
      <c r="D45" s="7"/>
      <c r="E45" s="30"/>
      <c r="F45" s="8" t="str">
        <f>IF(ISBLANK(E45), "", VLOOKUP(E45, Z!$A$2:$C$4127, 3, FALSE))</f>
        <v/>
      </c>
      <c r="G45" s="60"/>
      <c r="H45" s="124"/>
      <c r="I45" s="34"/>
      <c r="J45" s="40"/>
      <c r="K45" s="41"/>
      <c r="L45" s="40"/>
      <c r="M45" s="31">
        <f t="shared" si="7"/>
        <v>0</v>
      </c>
      <c r="N45" s="7"/>
      <c r="O45" s="7"/>
      <c r="P45" s="61"/>
      <c r="Q45" s="35"/>
      <c r="R45" s="40"/>
      <c r="S45" s="31">
        <f t="shared" si="8"/>
        <v>0</v>
      </c>
      <c r="T45" s="6"/>
      <c r="U45" s="7"/>
      <c r="V45" s="30"/>
      <c r="W45" s="8" t="str">
        <f>IF(ISBLANK(V45), "", VLOOKUP(V45, Z!$A$2:$C$4127, 3, FALSE))</f>
        <v/>
      </c>
      <c r="X45" s="36"/>
      <c r="Y45" s="87">
        <f t="shared" si="9"/>
        <v>0</v>
      </c>
      <c r="Z45" s="21"/>
      <c r="AA45" s="106">
        <f>IFERROR(120*50/#REF!, 0)</f>
        <v>0</v>
      </c>
      <c r="AB45" s="106">
        <f>IFERROR(VLOOKUP($G45, Y!$F$2:$I$10, 4, FALSE), 0)</f>
        <v>0</v>
      </c>
      <c r="AC45" s="107">
        <f>IFERROR(VLOOKUP($G45, Y!$F$2:$I$10, 4, FALSE) * SQRT(H45/3600)/(I45/#REF!)^0.75, 0)</f>
        <v>0</v>
      </c>
      <c r="AD45" s="108">
        <f>IFERROR((88.59*LN(AC45) + 13.46*LN(H45) - 11.48*LN(AC45)^2 -0.85*LN(H45)^2 - 0.38*LN(AC45)*LN(H45) - VLOOKUP(G45,Y!$F$2:$H$10, 2, FALSE) ) / 100, 0)</f>
        <v>0</v>
      </c>
      <c r="AE45" s="109">
        <f t="shared" si="14"/>
        <v>0</v>
      </c>
      <c r="AF45" s="109">
        <f t="shared" si="10"/>
        <v>0</v>
      </c>
      <c r="AG45" s="110">
        <f t="shared" si="15"/>
        <v>0</v>
      </c>
      <c r="AH45" s="111">
        <f t="shared" si="16"/>
        <v>0</v>
      </c>
      <c r="AI45" s="25"/>
      <c r="AJ45" s="108">
        <f>IFERROR(#REF!*#REF!^2 /(#REF!/AA45)^2 +#REF! *#REF! /(#REF!/AA45), 0)</f>
        <v>0</v>
      </c>
      <c r="AK45" s="112">
        <f t="shared" si="17"/>
        <v>0</v>
      </c>
      <c r="AL45" s="112">
        <f t="shared" si="11"/>
        <v>0</v>
      </c>
      <c r="AM45" s="110">
        <f t="shared" si="18"/>
        <v>0</v>
      </c>
      <c r="AN45" s="109">
        <f t="shared" si="12"/>
        <v>0</v>
      </c>
      <c r="AO45" s="25"/>
      <c r="AP45" s="80">
        <f t="shared" si="19"/>
        <v>0</v>
      </c>
      <c r="AQ45" s="80">
        <f t="shared" si="13"/>
        <v>0.25</v>
      </c>
      <c r="AR45" s="25"/>
      <c r="AS45" s="66">
        <f t="shared" si="20"/>
        <v>1</v>
      </c>
      <c r="AT45" s="50">
        <f>IFERROR((MATCH(#REF!, $BA$21:$BA$23, 0) - 1)*4, 0)</f>
        <v>0</v>
      </c>
      <c r="AU45" s="48">
        <f>IFERROR(#REF!/2 + IF(J45&lt;0.75, 0, 4), 0)</f>
        <v>0</v>
      </c>
      <c r="AV45" s="48" t="str" cm="1">
        <f t="array" ref="AV45">IF($AU45&gt;0, INDEX($BA$12:$BP$19, $AU45, $AT45+AV$11), "-")</f>
        <v>-</v>
      </c>
      <c r="AW45" s="48" t="str" cm="1">
        <f t="array" ref="AW45">IF($AU45&gt;0, INDEX($BA$12:$BP$19, $AU45, $AT45+AW$11), "-")</f>
        <v>-</v>
      </c>
      <c r="AX45" s="48" t="str" cm="1">
        <f t="array" ref="AX45">IF($AU45&gt;0, INDEX($BA$12:$BP$19, $AU45, $AT45+AX$11), "-")</f>
        <v>-</v>
      </c>
      <c r="AY45" s="48" t="str" cm="1">
        <f t="array" ref="AY45">IF($AU45&gt;0, INDEX($BA$12:$BP$19, $AU45, $AT45+AY$11), "-")</f>
        <v>-</v>
      </c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</row>
    <row r="46" spans="1:69" s="91" customFormat="1" x14ac:dyDescent="0.2">
      <c r="A46" s="33" cm="1">
        <f t="array" ref="A46">IFERROR(INDEX(Operation, IFERROR(MATCH(#REF!, Y!$B$40:$B$51, 0), IFERROR(MATCH(#REF!, Y!$C$40:$C$51, 0), MATCH(#REF!, Y!$D$40:$D$51, 0))), 4), 0)</f>
        <v>0</v>
      </c>
      <c r="B46" s="105">
        <v>35</v>
      </c>
      <c r="C46" s="7"/>
      <c r="D46" s="7"/>
      <c r="E46" s="30"/>
      <c r="F46" s="8" t="str">
        <f>IF(ISBLANK(E46), "", VLOOKUP(E46, Z!$A$2:$C$4127, 3, FALSE))</f>
        <v/>
      </c>
      <c r="G46" s="60"/>
      <c r="H46" s="124"/>
      <c r="I46" s="34"/>
      <c r="J46" s="40"/>
      <c r="K46" s="41"/>
      <c r="L46" s="40"/>
      <c r="M46" s="31">
        <f t="shared" si="7"/>
        <v>0</v>
      </c>
      <c r="N46" s="7"/>
      <c r="O46" s="7"/>
      <c r="P46" s="61"/>
      <c r="Q46" s="35"/>
      <c r="R46" s="40"/>
      <c r="S46" s="31">
        <f t="shared" si="8"/>
        <v>0</v>
      </c>
      <c r="T46" s="6"/>
      <c r="U46" s="7"/>
      <c r="V46" s="30"/>
      <c r="W46" s="8" t="str">
        <f>IF(ISBLANK(V46), "", VLOOKUP(V46, Z!$A$2:$C$4127, 3, FALSE))</f>
        <v/>
      </c>
      <c r="X46" s="36"/>
      <c r="Y46" s="87">
        <f t="shared" si="9"/>
        <v>0</v>
      </c>
      <c r="Z46" s="21"/>
      <c r="AA46" s="106">
        <f>IFERROR(120*50/#REF!, 0)</f>
        <v>0</v>
      </c>
      <c r="AB46" s="106">
        <f>IFERROR(VLOOKUP($G46, Y!$F$2:$I$10, 4, FALSE), 0)</f>
        <v>0</v>
      </c>
      <c r="AC46" s="107">
        <f>IFERROR(VLOOKUP($G46, Y!$F$2:$I$10, 4, FALSE) * SQRT(H46/3600)/(I46/#REF!)^0.75, 0)</f>
        <v>0</v>
      </c>
      <c r="AD46" s="108">
        <f>IFERROR((88.59*LN(AC46) + 13.46*LN(H46) - 11.48*LN(AC46)^2 -0.85*LN(H46)^2 - 0.38*LN(AC46)*LN(H46) - VLOOKUP(G46,Y!$F$2:$H$10, 2, FALSE) ) / 100, 0)</f>
        <v>0</v>
      </c>
      <c r="AE46" s="109">
        <f t="shared" si="14"/>
        <v>0</v>
      </c>
      <c r="AF46" s="109">
        <f t="shared" si="10"/>
        <v>0</v>
      </c>
      <c r="AG46" s="110">
        <f t="shared" si="15"/>
        <v>0</v>
      </c>
      <c r="AH46" s="111">
        <f t="shared" si="16"/>
        <v>0</v>
      </c>
      <c r="AI46" s="25"/>
      <c r="AJ46" s="108">
        <f>IFERROR(#REF!*#REF!^2 /(#REF!/AA46)^2 +#REF! *#REF! /(#REF!/AA46), 0)</f>
        <v>0</v>
      </c>
      <c r="AK46" s="112">
        <f t="shared" si="17"/>
        <v>0</v>
      </c>
      <c r="AL46" s="112">
        <f t="shared" si="11"/>
        <v>0</v>
      </c>
      <c r="AM46" s="110">
        <f t="shared" si="18"/>
        <v>0</v>
      </c>
      <c r="AN46" s="109">
        <f t="shared" si="12"/>
        <v>0</v>
      </c>
      <c r="AO46" s="25"/>
      <c r="AP46" s="80">
        <f t="shared" si="19"/>
        <v>0</v>
      </c>
      <c r="AQ46" s="80">
        <f t="shared" si="13"/>
        <v>0.25</v>
      </c>
      <c r="AR46" s="25"/>
      <c r="AS46" s="66">
        <f t="shared" si="20"/>
        <v>1</v>
      </c>
      <c r="AT46" s="50">
        <f>IFERROR((MATCH(#REF!, $BA$21:$BA$23, 0) - 1)*4, 0)</f>
        <v>0</v>
      </c>
      <c r="AU46" s="48">
        <f>IFERROR(#REF!/2 + IF(J46&lt;0.75, 0, 4), 0)</f>
        <v>0</v>
      </c>
      <c r="AV46" s="48" t="str" cm="1">
        <f t="array" ref="AV46">IF($AU46&gt;0, INDEX($BA$12:$BP$19, $AU46, $AT46+AV$11), "-")</f>
        <v>-</v>
      </c>
      <c r="AW46" s="48" t="str" cm="1">
        <f t="array" ref="AW46">IF($AU46&gt;0, INDEX($BA$12:$BP$19, $AU46, $AT46+AW$11), "-")</f>
        <v>-</v>
      </c>
      <c r="AX46" s="48" t="str" cm="1">
        <f t="array" ref="AX46">IF($AU46&gt;0, INDEX($BA$12:$BP$19, $AU46, $AT46+AX$11), "-")</f>
        <v>-</v>
      </c>
      <c r="AY46" s="48" t="str" cm="1">
        <f t="array" ref="AY46">IF($AU46&gt;0, INDEX($BA$12:$BP$19, $AU46, $AT46+AY$11), "-")</f>
        <v>-</v>
      </c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</row>
    <row r="47" spans="1:69" s="91" customFormat="1" x14ac:dyDescent="0.2">
      <c r="A47" s="33" cm="1">
        <f t="array" ref="A47">IFERROR(INDEX(Operation, IFERROR(MATCH(#REF!, Y!$B$40:$B$51, 0), IFERROR(MATCH(#REF!, Y!$C$40:$C$51, 0), MATCH(#REF!, Y!$D$40:$D$51, 0))), 4), 0)</f>
        <v>0</v>
      </c>
      <c r="B47" s="105">
        <v>36</v>
      </c>
      <c r="C47" s="7"/>
      <c r="D47" s="7"/>
      <c r="E47" s="30"/>
      <c r="F47" s="8" t="str">
        <f>IF(ISBLANK(E47), "", VLOOKUP(E47, Z!$A$2:$C$4127, 3, FALSE))</f>
        <v/>
      </c>
      <c r="G47" s="60"/>
      <c r="H47" s="124"/>
      <c r="I47" s="34"/>
      <c r="J47" s="40"/>
      <c r="K47" s="41"/>
      <c r="L47" s="40"/>
      <c r="M47" s="31">
        <f t="shared" si="7"/>
        <v>0</v>
      </c>
      <c r="N47" s="7"/>
      <c r="O47" s="7"/>
      <c r="P47" s="61"/>
      <c r="Q47" s="35"/>
      <c r="R47" s="40"/>
      <c r="S47" s="31">
        <f t="shared" si="8"/>
        <v>0</v>
      </c>
      <c r="T47" s="6"/>
      <c r="U47" s="7"/>
      <c r="V47" s="30"/>
      <c r="W47" s="8" t="str">
        <f>IF(ISBLANK(V47), "", VLOOKUP(V47, Z!$A$2:$C$4127, 3, FALSE))</f>
        <v/>
      </c>
      <c r="X47" s="36"/>
      <c r="Y47" s="87">
        <f t="shared" si="9"/>
        <v>0</v>
      </c>
      <c r="Z47" s="21"/>
      <c r="AA47" s="106">
        <f>IFERROR(120*50/#REF!, 0)</f>
        <v>0</v>
      </c>
      <c r="AB47" s="106">
        <f>IFERROR(VLOOKUP($G47, Y!$F$2:$I$10, 4, FALSE), 0)</f>
        <v>0</v>
      </c>
      <c r="AC47" s="107">
        <f>IFERROR(VLOOKUP($G47, Y!$F$2:$I$10, 4, FALSE) * SQRT(H47/3600)/(I47/#REF!)^0.75, 0)</f>
        <v>0</v>
      </c>
      <c r="AD47" s="108">
        <f>IFERROR((88.59*LN(AC47) + 13.46*LN(H47) - 11.48*LN(AC47)^2 -0.85*LN(H47)^2 - 0.38*LN(AC47)*LN(H47) - VLOOKUP(G47,Y!$F$2:$H$10, 2, FALSE) ) / 100, 0)</f>
        <v>0</v>
      </c>
      <c r="AE47" s="109">
        <f t="shared" si="14"/>
        <v>0</v>
      </c>
      <c r="AF47" s="109">
        <f t="shared" si="10"/>
        <v>0</v>
      </c>
      <c r="AG47" s="110">
        <f t="shared" si="15"/>
        <v>0</v>
      </c>
      <c r="AH47" s="111">
        <f t="shared" si="16"/>
        <v>0</v>
      </c>
      <c r="AI47" s="25"/>
      <c r="AJ47" s="108">
        <f>IFERROR(#REF!*#REF!^2 /(#REF!/AA47)^2 +#REF! *#REF! /(#REF!/AA47), 0)</f>
        <v>0</v>
      </c>
      <c r="AK47" s="112">
        <f t="shared" si="17"/>
        <v>0</v>
      </c>
      <c r="AL47" s="112">
        <f t="shared" si="11"/>
        <v>0</v>
      </c>
      <c r="AM47" s="110">
        <f t="shared" si="18"/>
        <v>0</v>
      </c>
      <c r="AN47" s="109">
        <f t="shared" si="12"/>
        <v>0</v>
      </c>
      <c r="AO47" s="25"/>
      <c r="AP47" s="80">
        <f t="shared" si="19"/>
        <v>0</v>
      </c>
      <c r="AQ47" s="80">
        <f t="shared" si="13"/>
        <v>0.25</v>
      </c>
      <c r="AR47" s="25"/>
      <c r="AS47" s="66">
        <f t="shared" si="20"/>
        <v>1</v>
      </c>
      <c r="AT47" s="50">
        <f>IFERROR((MATCH(#REF!, $BA$21:$BA$23, 0) - 1)*4, 0)</f>
        <v>0</v>
      </c>
      <c r="AU47" s="48">
        <f>IFERROR(#REF!/2 + IF(J47&lt;0.75, 0, 4), 0)</f>
        <v>0</v>
      </c>
      <c r="AV47" s="48" t="str" cm="1">
        <f t="array" ref="AV47">IF($AU47&gt;0, INDEX($BA$12:$BP$19, $AU47, $AT47+AV$11), "-")</f>
        <v>-</v>
      </c>
      <c r="AW47" s="48" t="str" cm="1">
        <f t="array" ref="AW47">IF($AU47&gt;0, INDEX($BA$12:$BP$19, $AU47, $AT47+AW$11), "-")</f>
        <v>-</v>
      </c>
      <c r="AX47" s="48" t="str" cm="1">
        <f t="array" ref="AX47">IF($AU47&gt;0, INDEX($BA$12:$BP$19, $AU47, $AT47+AX$11), "-")</f>
        <v>-</v>
      </c>
      <c r="AY47" s="48" t="str" cm="1">
        <f t="array" ref="AY47">IF($AU47&gt;0, INDEX($BA$12:$BP$19, $AU47, $AT47+AY$11), "-")</f>
        <v>-</v>
      </c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</row>
    <row r="48" spans="1:69" s="91" customFormat="1" x14ac:dyDescent="0.2">
      <c r="A48" s="33" cm="1">
        <f t="array" ref="A48">IFERROR(INDEX(Operation, IFERROR(MATCH(#REF!, Y!$B$40:$B$51, 0), IFERROR(MATCH(#REF!, Y!$C$40:$C$51, 0), MATCH(#REF!, Y!$D$40:$D$51, 0))), 4), 0)</f>
        <v>0</v>
      </c>
      <c r="B48" s="105">
        <v>37</v>
      </c>
      <c r="C48" s="7"/>
      <c r="D48" s="7"/>
      <c r="E48" s="30"/>
      <c r="F48" s="8" t="str">
        <f>IF(ISBLANK(E48), "", VLOOKUP(E48, Z!$A$2:$C$4127, 3, FALSE))</f>
        <v/>
      </c>
      <c r="G48" s="60"/>
      <c r="H48" s="124"/>
      <c r="I48" s="34"/>
      <c r="J48" s="40"/>
      <c r="K48" s="41"/>
      <c r="L48" s="40"/>
      <c r="M48" s="31">
        <f t="shared" si="7"/>
        <v>0</v>
      </c>
      <c r="N48" s="7"/>
      <c r="O48" s="7"/>
      <c r="P48" s="61"/>
      <c r="Q48" s="35"/>
      <c r="R48" s="40"/>
      <c r="S48" s="31">
        <f t="shared" si="8"/>
        <v>0</v>
      </c>
      <c r="T48" s="6"/>
      <c r="U48" s="7"/>
      <c r="V48" s="30"/>
      <c r="W48" s="8" t="str">
        <f>IF(ISBLANK(V48), "", VLOOKUP(V48, Z!$A$2:$C$4127, 3, FALSE))</f>
        <v/>
      </c>
      <c r="X48" s="36"/>
      <c r="Y48" s="87">
        <f t="shared" si="9"/>
        <v>0</v>
      </c>
      <c r="Z48" s="21"/>
      <c r="AA48" s="106">
        <f>IFERROR(120*50/#REF!, 0)</f>
        <v>0</v>
      </c>
      <c r="AB48" s="106">
        <f>IFERROR(VLOOKUP($G48, Y!$F$2:$I$10, 4, FALSE), 0)</f>
        <v>0</v>
      </c>
      <c r="AC48" s="107">
        <f>IFERROR(VLOOKUP($G48, Y!$F$2:$I$10, 4, FALSE) * SQRT(H48/3600)/(I48/#REF!)^0.75, 0)</f>
        <v>0</v>
      </c>
      <c r="AD48" s="108">
        <f>IFERROR((88.59*LN(AC48) + 13.46*LN(H48) - 11.48*LN(AC48)^2 -0.85*LN(H48)^2 - 0.38*LN(AC48)*LN(H48) - VLOOKUP(G48,Y!$F$2:$H$10, 2, FALSE) ) / 100, 0)</f>
        <v>0</v>
      </c>
      <c r="AE48" s="109">
        <f t="shared" si="14"/>
        <v>0</v>
      </c>
      <c r="AF48" s="109">
        <f t="shared" si="10"/>
        <v>0</v>
      </c>
      <c r="AG48" s="110">
        <f t="shared" si="15"/>
        <v>0</v>
      </c>
      <c r="AH48" s="111">
        <f t="shared" si="16"/>
        <v>0</v>
      </c>
      <c r="AI48" s="25"/>
      <c r="AJ48" s="108">
        <f>IFERROR(#REF!*#REF!^2 /(#REF!/AA48)^2 +#REF! *#REF! /(#REF!/AA48), 0)</f>
        <v>0</v>
      </c>
      <c r="AK48" s="112">
        <f t="shared" si="17"/>
        <v>0</v>
      </c>
      <c r="AL48" s="112">
        <f t="shared" si="11"/>
        <v>0</v>
      </c>
      <c r="AM48" s="110">
        <f t="shared" si="18"/>
        <v>0</v>
      </c>
      <c r="AN48" s="109">
        <f t="shared" si="12"/>
        <v>0</v>
      </c>
      <c r="AO48" s="25"/>
      <c r="AP48" s="80">
        <f t="shared" si="19"/>
        <v>0</v>
      </c>
      <c r="AQ48" s="80">
        <f t="shared" si="13"/>
        <v>0.25</v>
      </c>
      <c r="AR48" s="25"/>
      <c r="AS48" s="66">
        <f t="shared" si="20"/>
        <v>1</v>
      </c>
      <c r="AT48" s="50">
        <f>IFERROR((MATCH(#REF!, $BA$21:$BA$23, 0) - 1)*4, 0)</f>
        <v>0</v>
      </c>
      <c r="AU48" s="48">
        <f>IFERROR(#REF!/2 + IF(J48&lt;0.75, 0, 4), 0)</f>
        <v>0</v>
      </c>
      <c r="AV48" s="48" t="str" cm="1">
        <f t="array" ref="AV48">IF($AU48&gt;0, INDEX($BA$12:$BP$19, $AU48, $AT48+AV$11), "-")</f>
        <v>-</v>
      </c>
      <c r="AW48" s="48" t="str" cm="1">
        <f t="array" ref="AW48">IF($AU48&gt;0, INDEX($BA$12:$BP$19, $AU48, $AT48+AW$11), "-")</f>
        <v>-</v>
      </c>
      <c r="AX48" s="48" t="str" cm="1">
        <f t="array" ref="AX48">IF($AU48&gt;0, INDEX($BA$12:$BP$19, $AU48, $AT48+AX$11), "-")</f>
        <v>-</v>
      </c>
      <c r="AY48" s="48" t="str" cm="1">
        <f t="array" ref="AY48">IF($AU48&gt;0, INDEX($BA$12:$BP$19, $AU48, $AT48+AY$11), "-")</f>
        <v>-</v>
      </c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</row>
    <row r="49" spans="1:69" s="91" customFormat="1" x14ac:dyDescent="0.2">
      <c r="A49" s="33" cm="1">
        <f t="array" ref="A49">IFERROR(INDEX(Operation, IFERROR(MATCH(#REF!, Y!$B$40:$B$51, 0), IFERROR(MATCH(#REF!, Y!$C$40:$C$51, 0), MATCH(#REF!, Y!$D$40:$D$51, 0))), 4), 0)</f>
        <v>0</v>
      </c>
      <c r="B49" s="105">
        <v>38</v>
      </c>
      <c r="C49" s="7"/>
      <c r="D49" s="7"/>
      <c r="E49" s="30"/>
      <c r="F49" s="8" t="str">
        <f>IF(ISBLANK(E49), "", VLOOKUP(E49, Z!$A$2:$C$4127, 3, FALSE))</f>
        <v/>
      </c>
      <c r="G49" s="60"/>
      <c r="H49" s="124"/>
      <c r="I49" s="34"/>
      <c r="J49" s="40"/>
      <c r="K49" s="41"/>
      <c r="L49" s="40"/>
      <c r="M49" s="31">
        <f t="shared" si="7"/>
        <v>0</v>
      </c>
      <c r="N49" s="7"/>
      <c r="O49" s="7"/>
      <c r="P49" s="61"/>
      <c r="Q49" s="35"/>
      <c r="R49" s="40"/>
      <c r="S49" s="31">
        <f t="shared" si="8"/>
        <v>0</v>
      </c>
      <c r="T49" s="6"/>
      <c r="U49" s="7"/>
      <c r="V49" s="30"/>
      <c r="W49" s="8" t="str">
        <f>IF(ISBLANK(V49), "", VLOOKUP(V49, Z!$A$2:$C$4127, 3, FALSE))</f>
        <v/>
      </c>
      <c r="X49" s="36"/>
      <c r="Y49" s="87">
        <f t="shared" si="9"/>
        <v>0</v>
      </c>
      <c r="Z49" s="21"/>
      <c r="AA49" s="106">
        <f>IFERROR(120*50/#REF!, 0)</f>
        <v>0</v>
      </c>
      <c r="AB49" s="106">
        <f>IFERROR(VLOOKUP($G49, Y!$F$2:$I$10, 4, FALSE), 0)</f>
        <v>0</v>
      </c>
      <c r="AC49" s="107">
        <f>IFERROR(VLOOKUP($G49, Y!$F$2:$I$10, 4, FALSE) * SQRT(H49/3600)/(I49/#REF!)^0.75, 0)</f>
        <v>0</v>
      </c>
      <c r="AD49" s="108">
        <f>IFERROR((88.59*LN(AC49) + 13.46*LN(H49) - 11.48*LN(AC49)^2 -0.85*LN(H49)^2 - 0.38*LN(AC49)*LN(H49) - VLOOKUP(G49,Y!$F$2:$H$10, 2, FALSE) ) / 100, 0)</f>
        <v>0</v>
      </c>
      <c r="AE49" s="109">
        <f t="shared" si="14"/>
        <v>0</v>
      </c>
      <c r="AF49" s="109">
        <f t="shared" si="10"/>
        <v>0</v>
      </c>
      <c r="AG49" s="110">
        <f t="shared" si="15"/>
        <v>0</v>
      </c>
      <c r="AH49" s="111">
        <f t="shared" si="16"/>
        <v>0</v>
      </c>
      <c r="AI49" s="25"/>
      <c r="AJ49" s="108">
        <f>IFERROR(#REF!*#REF!^2 /(#REF!/AA49)^2 +#REF! *#REF! /(#REF!/AA49), 0)</f>
        <v>0</v>
      </c>
      <c r="AK49" s="112">
        <f t="shared" si="17"/>
        <v>0</v>
      </c>
      <c r="AL49" s="112">
        <f t="shared" si="11"/>
        <v>0</v>
      </c>
      <c r="AM49" s="110">
        <f t="shared" si="18"/>
        <v>0</v>
      </c>
      <c r="AN49" s="109">
        <f t="shared" si="12"/>
        <v>0</v>
      </c>
      <c r="AO49" s="25"/>
      <c r="AP49" s="80">
        <f t="shared" si="19"/>
        <v>0</v>
      </c>
      <c r="AQ49" s="80">
        <f t="shared" si="13"/>
        <v>0.25</v>
      </c>
      <c r="AR49" s="25"/>
      <c r="AS49" s="66">
        <f t="shared" si="20"/>
        <v>1</v>
      </c>
      <c r="AT49" s="50">
        <f>IFERROR((MATCH(#REF!, $BA$21:$BA$23, 0) - 1)*4, 0)</f>
        <v>0</v>
      </c>
      <c r="AU49" s="48">
        <f>IFERROR(#REF!/2 + IF(J49&lt;0.75, 0, 4), 0)</f>
        <v>0</v>
      </c>
      <c r="AV49" s="48" t="str" cm="1">
        <f t="array" ref="AV49">IF($AU49&gt;0, INDEX($BA$12:$BP$19, $AU49, $AT49+AV$11), "-")</f>
        <v>-</v>
      </c>
      <c r="AW49" s="48" t="str" cm="1">
        <f t="array" ref="AW49">IF($AU49&gt;0, INDEX($BA$12:$BP$19, $AU49, $AT49+AW$11), "-")</f>
        <v>-</v>
      </c>
      <c r="AX49" s="48" t="str" cm="1">
        <f t="array" ref="AX49">IF($AU49&gt;0, INDEX($BA$12:$BP$19, $AU49, $AT49+AX$11), "-")</f>
        <v>-</v>
      </c>
      <c r="AY49" s="48" t="str" cm="1">
        <f t="array" ref="AY49">IF($AU49&gt;0, INDEX($BA$12:$BP$19, $AU49, $AT49+AY$11), "-")</f>
        <v>-</v>
      </c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</row>
    <row r="50" spans="1:69" s="91" customFormat="1" x14ac:dyDescent="0.2">
      <c r="A50" s="33" cm="1">
        <f t="array" ref="A50">IFERROR(INDEX(Operation, IFERROR(MATCH(#REF!, Y!$B$40:$B$51, 0), IFERROR(MATCH(#REF!, Y!$C$40:$C$51, 0), MATCH(#REF!, Y!$D$40:$D$51, 0))), 4), 0)</f>
        <v>0</v>
      </c>
      <c r="B50" s="105">
        <v>39</v>
      </c>
      <c r="C50" s="7"/>
      <c r="D50" s="7"/>
      <c r="E50" s="30"/>
      <c r="F50" s="8" t="str">
        <f>IF(ISBLANK(E50), "", VLOOKUP(E50, Z!$A$2:$C$4127, 3, FALSE))</f>
        <v/>
      </c>
      <c r="G50" s="60"/>
      <c r="H50" s="124"/>
      <c r="I50" s="34"/>
      <c r="J50" s="40"/>
      <c r="K50" s="41"/>
      <c r="L50" s="40"/>
      <c r="M50" s="31">
        <f t="shared" si="7"/>
        <v>0</v>
      </c>
      <c r="N50" s="7"/>
      <c r="O50" s="7"/>
      <c r="P50" s="61"/>
      <c r="Q50" s="35"/>
      <c r="R50" s="40"/>
      <c r="S50" s="31">
        <f t="shared" si="8"/>
        <v>0</v>
      </c>
      <c r="T50" s="6"/>
      <c r="U50" s="7"/>
      <c r="V50" s="30"/>
      <c r="W50" s="8" t="str">
        <f>IF(ISBLANK(V50), "", VLOOKUP(V50, Z!$A$2:$C$4127, 3, FALSE))</f>
        <v/>
      </c>
      <c r="X50" s="36"/>
      <c r="Y50" s="87">
        <f t="shared" si="9"/>
        <v>0</v>
      </c>
      <c r="Z50" s="21"/>
      <c r="AA50" s="106">
        <f>IFERROR(120*50/#REF!, 0)</f>
        <v>0</v>
      </c>
      <c r="AB50" s="106">
        <f>IFERROR(VLOOKUP($G50, Y!$F$2:$I$10, 4, FALSE), 0)</f>
        <v>0</v>
      </c>
      <c r="AC50" s="107">
        <f>IFERROR(VLOOKUP($G50, Y!$F$2:$I$10, 4, FALSE) * SQRT(H50/3600)/(I50/#REF!)^0.75, 0)</f>
        <v>0</v>
      </c>
      <c r="AD50" s="108">
        <f>IFERROR((88.59*LN(AC50) + 13.46*LN(H50) - 11.48*LN(AC50)^2 -0.85*LN(H50)^2 - 0.38*LN(AC50)*LN(H50) - VLOOKUP(G50,Y!$F$2:$H$10, 2, FALSE) ) / 100, 0)</f>
        <v>0</v>
      </c>
      <c r="AE50" s="109">
        <f t="shared" si="14"/>
        <v>0</v>
      </c>
      <c r="AF50" s="109">
        <f t="shared" si="10"/>
        <v>0</v>
      </c>
      <c r="AG50" s="110">
        <f t="shared" si="15"/>
        <v>0</v>
      </c>
      <c r="AH50" s="111">
        <f t="shared" si="16"/>
        <v>0</v>
      </c>
      <c r="AI50" s="25"/>
      <c r="AJ50" s="108">
        <f>IFERROR(#REF!*#REF!^2 /(#REF!/AA50)^2 +#REF! *#REF! /(#REF!/AA50), 0)</f>
        <v>0</v>
      </c>
      <c r="AK50" s="112">
        <f t="shared" si="17"/>
        <v>0</v>
      </c>
      <c r="AL50" s="112">
        <f t="shared" si="11"/>
        <v>0</v>
      </c>
      <c r="AM50" s="110">
        <f t="shared" si="18"/>
        <v>0</v>
      </c>
      <c r="AN50" s="109">
        <f t="shared" si="12"/>
        <v>0</v>
      </c>
      <c r="AO50" s="25"/>
      <c r="AP50" s="80">
        <f t="shared" si="19"/>
        <v>0</v>
      </c>
      <c r="AQ50" s="80">
        <f t="shared" si="13"/>
        <v>0.25</v>
      </c>
      <c r="AR50" s="25"/>
      <c r="AS50" s="66">
        <f t="shared" si="20"/>
        <v>1</v>
      </c>
      <c r="AT50" s="50">
        <f>IFERROR((MATCH(#REF!, $BA$21:$BA$23, 0) - 1)*4, 0)</f>
        <v>0</v>
      </c>
      <c r="AU50" s="48">
        <f>IFERROR(#REF!/2 + IF(J50&lt;0.75, 0, 4), 0)</f>
        <v>0</v>
      </c>
      <c r="AV50" s="48" t="str" cm="1">
        <f t="array" ref="AV50">IF($AU50&gt;0, INDEX($BA$12:$BP$19, $AU50, $AT50+AV$11), "-")</f>
        <v>-</v>
      </c>
      <c r="AW50" s="48" t="str" cm="1">
        <f t="array" ref="AW50">IF($AU50&gt;0, INDEX($BA$12:$BP$19, $AU50, $AT50+AW$11), "-")</f>
        <v>-</v>
      </c>
      <c r="AX50" s="48" t="str" cm="1">
        <f t="array" ref="AX50">IF($AU50&gt;0, INDEX($BA$12:$BP$19, $AU50, $AT50+AX$11), "-")</f>
        <v>-</v>
      </c>
      <c r="AY50" s="48" t="str" cm="1">
        <f t="array" ref="AY50">IF($AU50&gt;0, INDEX($BA$12:$BP$19, $AU50, $AT50+AY$11), "-")</f>
        <v>-</v>
      </c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</row>
    <row r="51" spans="1:69" s="91" customFormat="1" x14ac:dyDescent="0.2">
      <c r="A51" s="33" cm="1">
        <f t="array" ref="A51">IFERROR(INDEX(Operation, IFERROR(MATCH(#REF!, Y!$B$40:$B$51, 0), IFERROR(MATCH(#REF!, Y!$C$40:$C$51, 0), MATCH(#REF!, Y!$D$40:$D$51, 0))), 4), 0)</f>
        <v>0</v>
      </c>
      <c r="B51" s="105">
        <v>40</v>
      </c>
      <c r="C51" s="7"/>
      <c r="D51" s="7"/>
      <c r="E51" s="30"/>
      <c r="F51" s="8" t="str">
        <f>IF(ISBLANK(E51), "", VLOOKUP(E51, Z!$A$2:$C$4127, 3, FALSE))</f>
        <v/>
      </c>
      <c r="G51" s="60"/>
      <c r="H51" s="124"/>
      <c r="I51" s="34"/>
      <c r="J51" s="40"/>
      <c r="K51" s="41"/>
      <c r="L51" s="40"/>
      <c r="M51" s="31">
        <f t="shared" si="7"/>
        <v>0</v>
      </c>
      <c r="N51" s="7"/>
      <c r="O51" s="7"/>
      <c r="P51" s="61"/>
      <c r="Q51" s="35"/>
      <c r="R51" s="40"/>
      <c r="S51" s="31">
        <f t="shared" si="8"/>
        <v>0</v>
      </c>
      <c r="T51" s="6"/>
      <c r="U51" s="7"/>
      <c r="V51" s="30"/>
      <c r="W51" s="8" t="str">
        <f>IF(ISBLANK(V51), "", VLOOKUP(V51, Z!$A$2:$C$4127, 3, FALSE))</f>
        <v/>
      </c>
      <c r="X51" s="36"/>
      <c r="Y51" s="87">
        <f t="shared" si="9"/>
        <v>0</v>
      </c>
      <c r="Z51" s="21"/>
      <c r="AA51" s="106">
        <f>IFERROR(120*50/#REF!, 0)</f>
        <v>0</v>
      </c>
      <c r="AB51" s="106">
        <f>IFERROR(VLOOKUP($G51, Y!$F$2:$I$10, 4, FALSE), 0)</f>
        <v>0</v>
      </c>
      <c r="AC51" s="107">
        <f>IFERROR(VLOOKUP($G51, Y!$F$2:$I$10, 4, FALSE) * SQRT(H51/3600)/(I51/#REF!)^0.75, 0)</f>
        <v>0</v>
      </c>
      <c r="AD51" s="108">
        <f>IFERROR((88.59*LN(AC51) + 13.46*LN(H51) - 11.48*LN(AC51)^2 -0.85*LN(H51)^2 - 0.38*LN(AC51)*LN(H51) - VLOOKUP(G51,Y!$F$2:$H$10, 2, FALSE) ) / 100, 0)</f>
        <v>0</v>
      </c>
      <c r="AE51" s="109">
        <f t="shared" si="14"/>
        <v>0</v>
      </c>
      <c r="AF51" s="109">
        <f t="shared" si="10"/>
        <v>0</v>
      </c>
      <c r="AG51" s="110">
        <f t="shared" si="15"/>
        <v>0</v>
      </c>
      <c r="AH51" s="111">
        <f t="shared" si="16"/>
        <v>0</v>
      </c>
      <c r="AI51" s="25"/>
      <c r="AJ51" s="108">
        <f>IFERROR(#REF!*#REF!^2 /(#REF!/AA51)^2 +#REF! *#REF! /(#REF!/AA51), 0)</f>
        <v>0</v>
      </c>
      <c r="AK51" s="112">
        <f t="shared" si="17"/>
        <v>0</v>
      </c>
      <c r="AL51" s="112">
        <f t="shared" si="11"/>
        <v>0</v>
      </c>
      <c r="AM51" s="110">
        <f t="shared" si="18"/>
        <v>0</v>
      </c>
      <c r="AN51" s="109">
        <f t="shared" si="12"/>
        <v>0</v>
      </c>
      <c r="AO51" s="25"/>
      <c r="AP51" s="80">
        <f t="shared" si="19"/>
        <v>0</v>
      </c>
      <c r="AQ51" s="80">
        <f t="shared" si="13"/>
        <v>0.25</v>
      </c>
      <c r="AR51" s="25"/>
      <c r="AS51" s="66">
        <f t="shared" si="20"/>
        <v>1</v>
      </c>
      <c r="AT51" s="50">
        <f>IFERROR((MATCH(#REF!, $BA$21:$BA$23, 0) - 1)*4, 0)</f>
        <v>0</v>
      </c>
      <c r="AU51" s="48">
        <f>IFERROR(#REF!/2 + IF(J51&lt;0.75, 0, 4), 0)</f>
        <v>0</v>
      </c>
      <c r="AV51" s="48" t="str" cm="1">
        <f t="array" ref="AV51">IF($AU51&gt;0, INDEX($BA$12:$BP$19, $AU51, $AT51+AV$11), "-")</f>
        <v>-</v>
      </c>
      <c r="AW51" s="48" t="str" cm="1">
        <f t="array" ref="AW51">IF($AU51&gt;0, INDEX($BA$12:$BP$19, $AU51, $AT51+AW$11), "-")</f>
        <v>-</v>
      </c>
      <c r="AX51" s="48" t="str" cm="1">
        <f t="array" ref="AX51">IF($AU51&gt;0, INDEX($BA$12:$BP$19, $AU51, $AT51+AX$11), "-")</f>
        <v>-</v>
      </c>
      <c r="AY51" s="48" t="str" cm="1">
        <f t="array" ref="AY51">IF($AU51&gt;0, INDEX($BA$12:$BP$19, $AU51, $AT51+AY$11), "-")</f>
        <v>-</v>
      </c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</row>
    <row r="52" spans="1:69" s="91" customFormat="1" x14ac:dyDescent="0.2">
      <c r="A52" s="33" cm="1">
        <f t="array" ref="A52">IFERROR(INDEX(Operation, IFERROR(MATCH(#REF!, Y!$B$40:$B$51, 0), IFERROR(MATCH(#REF!, Y!$C$40:$C$51, 0), MATCH(#REF!, Y!$D$40:$D$51, 0))), 4), 0)</f>
        <v>0</v>
      </c>
      <c r="B52" s="105">
        <v>41</v>
      </c>
      <c r="C52" s="7"/>
      <c r="D52" s="7"/>
      <c r="E52" s="30"/>
      <c r="F52" s="8" t="str">
        <f>IF(ISBLANK(E52), "", VLOOKUP(E52, Z!$A$2:$C$4127, 3, FALSE))</f>
        <v/>
      </c>
      <c r="G52" s="60"/>
      <c r="H52" s="124"/>
      <c r="I52" s="34"/>
      <c r="J52" s="40"/>
      <c r="K52" s="41"/>
      <c r="L52" s="40"/>
      <c r="M52" s="31">
        <f t="shared" si="7"/>
        <v>0</v>
      </c>
      <c r="N52" s="7"/>
      <c r="O52" s="7"/>
      <c r="P52" s="61"/>
      <c r="Q52" s="35"/>
      <c r="R52" s="40"/>
      <c r="S52" s="31">
        <f t="shared" si="8"/>
        <v>0</v>
      </c>
      <c r="T52" s="6"/>
      <c r="U52" s="7"/>
      <c r="V52" s="30"/>
      <c r="W52" s="8" t="str">
        <f>IF(ISBLANK(V52), "", VLOOKUP(V52, Z!$A$2:$C$4127, 3, FALSE))</f>
        <v/>
      </c>
      <c r="X52" s="36"/>
      <c r="Y52" s="87">
        <f t="shared" si="9"/>
        <v>0</v>
      </c>
      <c r="Z52" s="21"/>
      <c r="AA52" s="106">
        <f>IFERROR(120*50/#REF!, 0)</f>
        <v>0</v>
      </c>
      <c r="AB52" s="106">
        <f>IFERROR(VLOOKUP($G52, Y!$F$2:$I$10, 4, FALSE), 0)</f>
        <v>0</v>
      </c>
      <c r="AC52" s="107">
        <f>IFERROR(VLOOKUP($G52, Y!$F$2:$I$10, 4, FALSE) * SQRT(H52/3600)/(I52/#REF!)^0.75, 0)</f>
        <v>0</v>
      </c>
      <c r="AD52" s="108">
        <f>IFERROR((88.59*LN(AC52) + 13.46*LN(H52) - 11.48*LN(AC52)^2 -0.85*LN(H52)^2 - 0.38*LN(AC52)*LN(H52) - VLOOKUP(G52,Y!$F$2:$H$10, 2, FALSE) ) / 100, 0)</f>
        <v>0</v>
      </c>
      <c r="AE52" s="109">
        <f t="shared" si="14"/>
        <v>0</v>
      </c>
      <c r="AF52" s="109">
        <f t="shared" si="10"/>
        <v>0</v>
      </c>
      <c r="AG52" s="110">
        <f t="shared" si="15"/>
        <v>0</v>
      </c>
      <c r="AH52" s="111">
        <f t="shared" si="16"/>
        <v>0</v>
      </c>
      <c r="AI52" s="25"/>
      <c r="AJ52" s="108">
        <f>IFERROR(#REF!*#REF!^2 /(#REF!/AA52)^2 +#REF! *#REF! /(#REF!/AA52), 0)</f>
        <v>0</v>
      </c>
      <c r="AK52" s="112">
        <f t="shared" si="17"/>
        <v>0</v>
      </c>
      <c r="AL52" s="112">
        <f t="shared" si="11"/>
        <v>0</v>
      </c>
      <c r="AM52" s="110">
        <f t="shared" si="18"/>
        <v>0</v>
      </c>
      <c r="AN52" s="109">
        <f t="shared" si="12"/>
        <v>0</v>
      </c>
      <c r="AO52" s="25"/>
      <c r="AP52" s="80">
        <f t="shared" si="19"/>
        <v>0</v>
      </c>
      <c r="AQ52" s="80">
        <f t="shared" si="13"/>
        <v>0.25</v>
      </c>
      <c r="AR52" s="25"/>
      <c r="AS52" s="66">
        <f t="shared" si="20"/>
        <v>1</v>
      </c>
      <c r="AT52" s="50">
        <f>IFERROR((MATCH(#REF!, $BA$21:$BA$23, 0) - 1)*4, 0)</f>
        <v>0</v>
      </c>
      <c r="AU52" s="48">
        <f>IFERROR(#REF!/2 + IF(J52&lt;0.75, 0, 4), 0)</f>
        <v>0</v>
      </c>
      <c r="AV52" s="48" t="str" cm="1">
        <f t="array" ref="AV52">IF($AU52&gt;0, INDEX($BA$12:$BP$19, $AU52, $AT52+AV$11), "-")</f>
        <v>-</v>
      </c>
      <c r="AW52" s="48" t="str" cm="1">
        <f t="array" ref="AW52">IF($AU52&gt;0, INDEX($BA$12:$BP$19, $AU52, $AT52+AW$11), "-")</f>
        <v>-</v>
      </c>
      <c r="AX52" s="48" t="str" cm="1">
        <f t="array" ref="AX52">IF($AU52&gt;0, INDEX($BA$12:$BP$19, $AU52, $AT52+AX$11), "-")</f>
        <v>-</v>
      </c>
      <c r="AY52" s="48" t="str" cm="1">
        <f t="array" ref="AY52">IF($AU52&gt;0, INDEX($BA$12:$BP$19, $AU52, $AT52+AY$11), "-")</f>
        <v>-</v>
      </c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</row>
    <row r="53" spans="1:69" s="91" customFormat="1" x14ac:dyDescent="0.2">
      <c r="A53" s="33" cm="1">
        <f t="array" ref="A53">IFERROR(INDEX(Operation, IFERROR(MATCH(#REF!, Y!$B$40:$B$51, 0), IFERROR(MATCH(#REF!, Y!$C$40:$C$51, 0), MATCH(#REF!, Y!$D$40:$D$51, 0))), 4), 0)</f>
        <v>0</v>
      </c>
      <c r="B53" s="105">
        <v>42</v>
      </c>
      <c r="C53" s="7"/>
      <c r="D53" s="7"/>
      <c r="E53" s="30"/>
      <c r="F53" s="8" t="str">
        <f>IF(ISBLANK(E53), "", VLOOKUP(E53, Z!$A$2:$C$4127, 3, FALSE))</f>
        <v/>
      </c>
      <c r="G53" s="60"/>
      <c r="H53" s="124"/>
      <c r="I53" s="34"/>
      <c r="J53" s="40"/>
      <c r="K53" s="41"/>
      <c r="L53" s="40"/>
      <c r="M53" s="31">
        <f t="shared" si="7"/>
        <v>0</v>
      </c>
      <c r="N53" s="7"/>
      <c r="O53" s="7"/>
      <c r="P53" s="61"/>
      <c r="Q53" s="35"/>
      <c r="R53" s="40"/>
      <c r="S53" s="31">
        <f t="shared" si="8"/>
        <v>0</v>
      </c>
      <c r="T53" s="6"/>
      <c r="U53" s="7"/>
      <c r="V53" s="30"/>
      <c r="W53" s="8" t="str">
        <f>IF(ISBLANK(V53), "", VLOOKUP(V53, Z!$A$2:$C$4127, 3, FALSE))</f>
        <v/>
      </c>
      <c r="X53" s="36"/>
      <c r="Y53" s="87">
        <f t="shared" si="9"/>
        <v>0</v>
      </c>
      <c r="Z53" s="21"/>
      <c r="AA53" s="106">
        <f>IFERROR(120*50/#REF!, 0)</f>
        <v>0</v>
      </c>
      <c r="AB53" s="106">
        <f>IFERROR(VLOOKUP($G53, Y!$F$2:$I$10, 4, FALSE), 0)</f>
        <v>0</v>
      </c>
      <c r="AC53" s="107">
        <f>IFERROR(VLOOKUP($G53, Y!$F$2:$I$10, 4, FALSE) * SQRT(H53/3600)/(I53/#REF!)^0.75, 0)</f>
        <v>0</v>
      </c>
      <c r="AD53" s="108">
        <f>IFERROR((88.59*LN(AC53) + 13.46*LN(H53) - 11.48*LN(AC53)^2 -0.85*LN(H53)^2 - 0.38*LN(AC53)*LN(H53) - VLOOKUP(G53,Y!$F$2:$H$10, 2, FALSE) ) / 100, 0)</f>
        <v>0</v>
      </c>
      <c r="AE53" s="109">
        <f t="shared" si="14"/>
        <v>0</v>
      </c>
      <c r="AF53" s="109">
        <f t="shared" si="10"/>
        <v>0</v>
      </c>
      <c r="AG53" s="110">
        <f t="shared" si="15"/>
        <v>0</v>
      </c>
      <c r="AH53" s="111">
        <f t="shared" si="16"/>
        <v>0</v>
      </c>
      <c r="AI53" s="25"/>
      <c r="AJ53" s="108">
        <f>IFERROR(#REF!*#REF!^2 /(#REF!/AA53)^2 +#REF! *#REF! /(#REF!/AA53), 0)</f>
        <v>0</v>
      </c>
      <c r="AK53" s="112">
        <f t="shared" si="17"/>
        <v>0</v>
      </c>
      <c r="AL53" s="112">
        <f t="shared" si="11"/>
        <v>0</v>
      </c>
      <c r="AM53" s="110">
        <f t="shared" si="18"/>
        <v>0</v>
      </c>
      <c r="AN53" s="109">
        <f t="shared" si="12"/>
        <v>0</v>
      </c>
      <c r="AO53" s="25"/>
      <c r="AP53" s="80">
        <f t="shared" si="19"/>
        <v>0</v>
      </c>
      <c r="AQ53" s="80">
        <f t="shared" si="13"/>
        <v>0.25</v>
      </c>
      <c r="AR53" s="25"/>
      <c r="AS53" s="66">
        <f t="shared" si="20"/>
        <v>1</v>
      </c>
      <c r="AT53" s="50">
        <f>IFERROR((MATCH(#REF!, $BA$21:$BA$23, 0) - 1)*4, 0)</f>
        <v>0</v>
      </c>
      <c r="AU53" s="48">
        <f>IFERROR(#REF!/2 + IF(J53&lt;0.75, 0, 4), 0)</f>
        <v>0</v>
      </c>
      <c r="AV53" s="48" t="str" cm="1">
        <f t="array" ref="AV53">IF($AU53&gt;0, INDEX($BA$12:$BP$19, $AU53, $AT53+AV$11), "-")</f>
        <v>-</v>
      </c>
      <c r="AW53" s="48" t="str" cm="1">
        <f t="array" ref="AW53">IF($AU53&gt;0, INDEX($BA$12:$BP$19, $AU53, $AT53+AW$11), "-")</f>
        <v>-</v>
      </c>
      <c r="AX53" s="48" t="str" cm="1">
        <f t="array" ref="AX53">IF($AU53&gt;0, INDEX($BA$12:$BP$19, $AU53, $AT53+AX$11), "-")</f>
        <v>-</v>
      </c>
      <c r="AY53" s="48" t="str" cm="1">
        <f t="array" ref="AY53">IF($AU53&gt;0, INDEX($BA$12:$BP$19, $AU53, $AT53+AY$11), "-")</f>
        <v>-</v>
      </c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</row>
    <row r="54" spans="1:69" s="91" customFormat="1" x14ac:dyDescent="0.2">
      <c r="A54" s="33" cm="1">
        <f t="array" ref="A54">IFERROR(INDEX(Operation, IFERROR(MATCH(#REF!, Y!$B$40:$B$51, 0), IFERROR(MATCH(#REF!, Y!$C$40:$C$51, 0), MATCH(#REF!, Y!$D$40:$D$51, 0))), 4), 0)</f>
        <v>0</v>
      </c>
      <c r="B54" s="105">
        <v>43</v>
      </c>
      <c r="C54" s="7"/>
      <c r="D54" s="7"/>
      <c r="E54" s="30"/>
      <c r="F54" s="8" t="str">
        <f>IF(ISBLANK(E54), "", VLOOKUP(E54, Z!$A$2:$C$4127, 3, FALSE))</f>
        <v/>
      </c>
      <c r="G54" s="60"/>
      <c r="H54" s="124"/>
      <c r="I54" s="34"/>
      <c r="J54" s="40"/>
      <c r="K54" s="41"/>
      <c r="L54" s="40"/>
      <c r="M54" s="31">
        <f t="shared" si="7"/>
        <v>0</v>
      </c>
      <c r="N54" s="7"/>
      <c r="O54" s="7"/>
      <c r="P54" s="61"/>
      <c r="Q54" s="35"/>
      <c r="R54" s="40"/>
      <c r="S54" s="31">
        <f t="shared" si="8"/>
        <v>0</v>
      </c>
      <c r="T54" s="6"/>
      <c r="U54" s="7"/>
      <c r="V54" s="30"/>
      <c r="W54" s="8" t="str">
        <f>IF(ISBLANK(V54), "", VLOOKUP(V54, Z!$A$2:$C$4127, 3, FALSE))</f>
        <v/>
      </c>
      <c r="X54" s="36"/>
      <c r="Y54" s="87">
        <f t="shared" si="9"/>
        <v>0</v>
      </c>
      <c r="Z54" s="21"/>
      <c r="AA54" s="106">
        <f>IFERROR(120*50/#REF!, 0)</f>
        <v>0</v>
      </c>
      <c r="AB54" s="106">
        <f>IFERROR(VLOOKUP($G54, Y!$F$2:$I$10, 4, FALSE), 0)</f>
        <v>0</v>
      </c>
      <c r="AC54" s="107">
        <f>IFERROR(VLOOKUP($G54, Y!$F$2:$I$10, 4, FALSE) * SQRT(H54/3600)/(I54/#REF!)^0.75, 0)</f>
        <v>0</v>
      </c>
      <c r="AD54" s="108">
        <f>IFERROR((88.59*LN(AC54) + 13.46*LN(H54) - 11.48*LN(AC54)^2 -0.85*LN(H54)^2 - 0.38*LN(AC54)*LN(H54) - VLOOKUP(G54,Y!$F$2:$H$10, 2, FALSE) ) / 100, 0)</f>
        <v>0</v>
      </c>
      <c r="AE54" s="109">
        <f t="shared" si="14"/>
        <v>0</v>
      </c>
      <c r="AF54" s="109">
        <f t="shared" si="10"/>
        <v>0</v>
      </c>
      <c r="AG54" s="110">
        <f t="shared" si="15"/>
        <v>0</v>
      </c>
      <c r="AH54" s="111">
        <f t="shared" si="16"/>
        <v>0</v>
      </c>
      <c r="AI54" s="25"/>
      <c r="AJ54" s="108">
        <f>IFERROR(#REF!*#REF!^2 /(#REF!/AA54)^2 +#REF! *#REF! /(#REF!/AA54), 0)</f>
        <v>0</v>
      </c>
      <c r="AK54" s="112">
        <f t="shared" si="17"/>
        <v>0</v>
      </c>
      <c r="AL54" s="112">
        <f t="shared" si="11"/>
        <v>0</v>
      </c>
      <c r="AM54" s="110">
        <f t="shared" si="18"/>
        <v>0</v>
      </c>
      <c r="AN54" s="109">
        <f t="shared" si="12"/>
        <v>0</v>
      </c>
      <c r="AO54" s="25"/>
      <c r="AP54" s="80">
        <f t="shared" si="19"/>
        <v>0</v>
      </c>
      <c r="AQ54" s="80">
        <f t="shared" si="13"/>
        <v>0.25</v>
      </c>
      <c r="AR54" s="25"/>
      <c r="AS54" s="66">
        <f t="shared" si="20"/>
        <v>1</v>
      </c>
      <c r="AT54" s="50">
        <f>IFERROR((MATCH(#REF!, $BA$21:$BA$23, 0) - 1)*4, 0)</f>
        <v>0</v>
      </c>
      <c r="AU54" s="48">
        <f>IFERROR(#REF!/2 + IF(J54&lt;0.75, 0, 4), 0)</f>
        <v>0</v>
      </c>
      <c r="AV54" s="48" t="str" cm="1">
        <f t="array" ref="AV54">IF($AU54&gt;0, INDEX($BA$12:$BP$19, $AU54, $AT54+AV$11), "-")</f>
        <v>-</v>
      </c>
      <c r="AW54" s="48" t="str" cm="1">
        <f t="array" ref="AW54">IF($AU54&gt;0, INDEX($BA$12:$BP$19, $AU54, $AT54+AW$11), "-")</f>
        <v>-</v>
      </c>
      <c r="AX54" s="48" t="str" cm="1">
        <f t="array" ref="AX54">IF($AU54&gt;0, INDEX($BA$12:$BP$19, $AU54, $AT54+AX$11), "-")</f>
        <v>-</v>
      </c>
      <c r="AY54" s="48" t="str" cm="1">
        <f t="array" ref="AY54">IF($AU54&gt;0, INDEX($BA$12:$BP$19, $AU54, $AT54+AY$11), "-")</f>
        <v>-</v>
      </c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</row>
    <row r="55" spans="1:69" s="91" customFormat="1" x14ac:dyDescent="0.2">
      <c r="A55" s="33" cm="1">
        <f t="array" ref="A55">IFERROR(INDEX(Operation, IFERROR(MATCH(#REF!, Y!$B$40:$B$51, 0), IFERROR(MATCH(#REF!, Y!$C$40:$C$51, 0), MATCH(#REF!, Y!$D$40:$D$51, 0))), 4), 0)</f>
        <v>0</v>
      </c>
      <c r="B55" s="105">
        <v>44</v>
      </c>
      <c r="C55" s="7"/>
      <c r="D55" s="7"/>
      <c r="E55" s="30"/>
      <c r="F55" s="8" t="str">
        <f>IF(ISBLANK(E55), "", VLOOKUP(E55, Z!$A$2:$C$4127, 3, FALSE))</f>
        <v/>
      </c>
      <c r="G55" s="60"/>
      <c r="H55" s="124"/>
      <c r="I55" s="34"/>
      <c r="J55" s="40"/>
      <c r="K55" s="41"/>
      <c r="L55" s="40"/>
      <c r="M55" s="31">
        <f t="shared" si="7"/>
        <v>0</v>
      </c>
      <c r="N55" s="7"/>
      <c r="O55" s="7"/>
      <c r="P55" s="61"/>
      <c r="Q55" s="35"/>
      <c r="R55" s="40"/>
      <c r="S55" s="31">
        <f t="shared" si="8"/>
        <v>0</v>
      </c>
      <c r="T55" s="6"/>
      <c r="U55" s="7"/>
      <c r="V55" s="30"/>
      <c r="W55" s="8" t="str">
        <f>IF(ISBLANK(V55), "", VLOOKUP(V55, Z!$A$2:$C$4127, 3, FALSE))</f>
        <v/>
      </c>
      <c r="X55" s="36"/>
      <c r="Y55" s="87">
        <f t="shared" si="9"/>
        <v>0</v>
      </c>
      <c r="Z55" s="21"/>
      <c r="AA55" s="106">
        <f>IFERROR(120*50/#REF!, 0)</f>
        <v>0</v>
      </c>
      <c r="AB55" s="106">
        <f>IFERROR(VLOOKUP($G55, Y!$F$2:$I$10, 4, FALSE), 0)</f>
        <v>0</v>
      </c>
      <c r="AC55" s="107">
        <f>IFERROR(VLOOKUP($G55, Y!$F$2:$I$10, 4, FALSE) * SQRT(H55/3600)/(I55/#REF!)^0.75, 0)</f>
        <v>0</v>
      </c>
      <c r="AD55" s="108">
        <f>IFERROR((88.59*LN(AC55) + 13.46*LN(H55) - 11.48*LN(AC55)^2 -0.85*LN(H55)^2 - 0.38*LN(AC55)*LN(H55) - VLOOKUP(G55,Y!$F$2:$H$10, 2, FALSE) ) / 100, 0)</f>
        <v>0</v>
      </c>
      <c r="AE55" s="109">
        <f t="shared" si="14"/>
        <v>0</v>
      </c>
      <c r="AF55" s="109">
        <f t="shared" si="10"/>
        <v>0</v>
      </c>
      <c r="AG55" s="110">
        <f t="shared" si="15"/>
        <v>0</v>
      </c>
      <c r="AH55" s="111">
        <f t="shared" si="16"/>
        <v>0</v>
      </c>
      <c r="AI55" s="25"/>
      <c r="AJ55" s="108">
        <f>IFERROR(#REF!*#REF!^2 /(#REF!/AA55)^2 +#REF! *#REF! /(#REF!/AA55), 0)</f>
        <v>0</v>
      </c>
      <c r="AK55" s="112">
        <f t="shared" si="17"/>
        <v>0</v>
      </c>
      <c r="AL55" s="112">
        <f t="shared" si="11"/>
        <v>0</v>
      </c>
      <c r="AM55" s="110">
        <f t="shared" si="18"/>
        <v>0</v>
      </c>
      <c r="AN55" s="109">
        <f t="shared" si="12"/>
        <v>0</v>
      </c>
      <c r="AO55" s="25"/>
      <c r="AP55" s="80">
        <f t="shared" si="19"/>
        <v>0</v>
      </c>
      <c r="AQ55" s="80">
        <f t="shared" si="13"/>
        <v>0.25</v>
      </c>
      <c r="AR55" s="25"/>
      <c r="AS55" s="66">
        <f t="shared" si="20"/>
        <v>1</v>
      </c>
      <c r="AT55" s="50">
        <f>IFERROR((MATCH(#REF!, $BA$21:$BA$23, 0) - 1)*4, 0)</f>
        <v>0</v>
      </c>
      <c r="AU55" s="48">
        <f>IFERROR(#REF!/2 + IF(J55&lt;0.75, 0, 4), 0)</f>
        <v>0</v>
      </c>
      <c r="AV55" s="48" t="str" cm="1">
        <f t="array" ref="AV55">IF($AU55&gt;0, INDEX($BA$12:$BP$19, $AU55, $AT55+AV$11), "-")</f>
        <v>-</v>
      </c>
      <c r="AW55" s="48" t="str" cm="1">
        <f t="array" ref="AW55">IF($AU55&gt;0, INDEX($BA$12:$BP$19, $AU55, $AT55+AW$11), "-")</f>
        <v>-</v>
      </c>
      <c r="AX55" s="48" t="str" cm="1">
        <f t="array" ref="AX55">IF($AU55&gt;0, INDEX($BA$12:$BP$19, $AU55, $AT55+AX$11), "-")</f>
        <v>-</v>
      </c>
      <c r="AY55" s="48" t="str" cm="1">
        <f t="array" ref="AY55">IF($AU55&gt;0, INDEX($BA$12:$BP$19, $AU55, $AT55+AY$11), "-")</f>
        <v>-</v>
      </c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</row>
    <row r="56" spans="1:69" s="91" customFormat="1" x14ac:dyDescent="0.2">
      <c r="A56" s="33" cm="1">
        <f t="array" ref="A56">IFERROR(INDEX(Operation, IFERROR(MATCH(#REF!, Y!$B$40:$B$51, 0), IFERROR(MATCH(#REF!, Y!$C$40:$C$51, 0), MATCH(#REF!, Y!$D$40:$D$51, 0))), 4), 0)</f>
        <v>0</v>
      </c>
      <c r="B56" s="105">
        <v>45</v>
      </c>
      <c r="C56" s="7"/>
      <c r="D56" s="7"/>
      <c r="E56" s="30"/>
      <c r="F56" s="8" t="str">
        <f>IF(ISBLANK(E56), "", VLOOKUP(E56, Z!$A$2:$C$4127, 3, FALSE))</f>
        <v/>
      </c>
      <c r="G56" s="60"/>
      <c r="H56" s="124"/>
      <c r="I56" s="34"/>
      <c r="J56" s="40"/>
      <c r="K56" s="41"/>
      <c r="L56" s="40"/>
      <c r="M56" s="31">
        <f t="shared" si="7"/>
        <v>0</v>
      </c>
      <c r="N56" s="7"/>
      <c r="O56" s="7"/>
      <c r="P56" s="61"/>
      <c r="Q56" s="35"/>
      <c r="R56" s="40"/>
      <c r="S56" s="31">
        <f t="shared" si="8"/>
        <v>0</v>
      </c>
      <c r="T56" s="6"/>
      <c r="U56" s="7"/>
      <c r="V56" s="30"/>
      <c r="W56" s="8" t="str">
        <f>IF(ISBLANK(V56), "", VLOOKUP(V56, Z!$A$2:$C$4127, 3, FALSE))</f>
        <v/>
      </c>
      <c r="X56" s="36"/>
      <c r="Y56" s="87">
        <f t="shared" si="9"/>
        <v>0</v>
      </c>
      <c r="Z56" s="21"/>
      <c r="AA56" s="106">
        <f>IFERROR(120*50/#REF!, 0)</f>
        <v>0</v>
      </c>
      <c r="AB56" s="106">
        <f>IFERROR(VLOOKUP($G56, Y!$F$2:$I$10, 4, FALSE), 0)</f>
        <v>0</v>
      </c>
      <c r="AC56" s="107">
        <f>IFERROR(VLOOKUP($G56, Y!$F$2:$I$10, 4, FALSE) * SQRT(H56/3600)/(I56/#REF!)^0.75, 0)</f>
        <v>0</v>
      </c>
      <c r="AD56" s="108">
        <f>IFERROR((88.59*LN(AC56) + 13.46*LN(H56) - 11.48*LN(AC56)^2 -0.85*LN(H56)^2 - 0.38*LN(AC56)*LN(H56) - VLOOKUP(G56,Y!$F$2:$H$10, 2, FALSE) ) / 100, 0)</f>
        <v>0</v>
      </c>
      <c r="AE56" s="109">
        <f t="shared" si="14"/>
        <v>0</v>
      </c>
      <c r="AF56" s="109">
        <f t="shared" si="10"/>
        <v>0</v>
      </c>
      <c r="AG56" s="110">
        <f t="shared" si="15"/>
        <v>0</v>
      </c>
      <c r="AH56" s="111">
        <f t="shared" si="16"/>
        <v>0</v>
      </c>
      <c r="AI56" s="25"/>
      <c r="AJ56" s="108">
        <f>IFERROR(#REF!*#REF!^2 /(#REF!/AA56)^2 +#REF! *#REF! /(#REF!/AA56), 0)</f>
        <v>0</v>
      </c>
      <c r="AK56" s="112">
        <f t="shared" si="17"/>
        <v>0</v>
      </c>
      <c r="AL56" s="112">
        <f t="shared" si="11"/>
        <v>0</v>
      </c>
      <c r="AM56" s="110">
        <f t="shared" si="18"/>
        <v>0</v>
      </c>
      <c r="AN56" s="109">
        <f t="shared" si="12"/>
        <v>0</v>
      </c>
      <c r="AO56" s="25"/>
      <c r="AP56" s="80">
        <f t="shared" si="19"/>
        <v>0</v>
      </c>
      <c r="AQ56" s="80">
        <f t="shared" si="13"/>
        <v>0.25</v>
      </c>
      <c r="AR56" s="25"/>
      <c r="AS56" s="66">
        <f t="shared" si="20"/>
        <v>1</v>
      </c>
      <c r="AT56" s="50">
        <f>IFERROR((MATCH(#REF!, $BA$21:$BA$23, 0) - 1)*4, 0)</f>
        <v>0</v>
      </c>
      <c r="AU56" s="48">
        <f>IFERROR(#REF!/2 + IF(J56&lt;0.75, 0, 4), 0)</f>
        <v>0</v>
      </c>
      <c r="AV56" s="48" t="str" cm="1">
        <f t="array" ref="AV56">IF($AU56&gt;0, INDEX($BA$12:$BP$19, $AU56, $AT56+AV$11), "-")</f>
        <v>-</v>
      </c>
      <c r="AW56" s="48" t="str" cm="1">
        <f t="array" ref="AW56">IF($AU56&gt;0, INDEX($BA$12:$BP$19, $AU56, $AT56+AW$11), "-")</f>
        <v>-</v>
      </c>
      <c r="AX56" s="48" t="str" cm="1">
        <f t="array" ref="AX56">IF($AU56&gt;0, INDEX($BA$12:$BP$19, $AU56, $AT56+AX$11), "-")</f>
        <v>-</v>
      </c>
      <c r="AY56" s="48" t="str" cm="1">
        <f t="array" ref="AY56">IF($AU56&gt;0, INDEX($BA$12:$BP$19, $AU56, $AT56+AY$11), "-")</f>
        <v>-</v>
      </c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</row>
    <row r="57" spans="1:69" s="91" customFormat="1" x14ac:dyDescent="0.2">
      <c r="A57" s="33" cm="1">
        <f t="array" ref="A57">IFERROR(INDEX(Operation, IFERROR(MATCH(#REF!, Y!$B$40:$B$51, 0), IFERROR(MATCH(#REF!, Y!$C$40:$C$51, 0), MATCH(#REF!, Y!$D$40:$D$51, 0))), 4), 0)</f>
        <v>0</v>
      </c>
      <c r="B57" s="105">
        <v>46</v>
      </c>
      <c r="C57" s="7"/>
      <c r="D57" s="7"/>
      <c r="E57" s="30"/>
      <c r="F57" s="8" t="str">
        <f>IF(ISBLANK(E57), "", VLOOKUP(E57, Z!$A$2:$C$4127, 3, FALSE))</f>
        <v/>
      </c>
      <c r="G57" s="60"/>
      <c r="H57" s="124"/>
      <c r="I57" s="34"/>
      <c r="J57" s="40"/>
      <c r="K57" s="41"/>
      <c r="L57" s="40"/>
      <c r="M57" s="31">
        <f t="shared" si="7"/>
        <v>0</v>
      </c>
      <c r="N57" s="7"/>
      <c r="O57" s="7"/>
      <c r="P57" s="61"/>
      <c r="Q57" s="35"/>
      <c r="R57" s="40"/>
      <c r="S57" s="31">
        <f t="shared" si="8"/>
        <v>0</v>
      </c>
      <c r="T57" s="6"/>
      <c r="U57" s="7"/>
      <c r="V57" s="30"/>
      <c r="W57" s="8" t="str">
        <f>IF(ISBLANK(V57), "", VLOOKUP(V57, Z!$A$2:$C$4127, 3, FALSE))</f>
        <v/>
      </c>
      <c r="X57" s="36"/>
      <c r="Y57" s="87">
        <f t="shared" si="9"/>
        <v>0</v>
      </c>
      <c r="Z57" s="21"/>
      <c r="AA57" s="106">
        <f>IFERROR(120*50/#REF!, 0)</f>
        <v>0</v>
      </c>
      <c r="AB57" s="106">
        <f>IFERROR(VLOOKUP($G57, Y!$F$2:$I$10, 4, FALSE), 0)</f>
        <v>0</v>
      </c>
      <c r="AC57" s="107">
        <f>IFERROR(VLOOKUP($G57, Y!$F$2:$I$10, 4, FALSE) * SQRT(H57/3600)/(I57/#REF!)^0.75, 0)</f>
        <v>0</v>
      </c>
      <c r="AD57" s="108">
        <f>IFERROR((88.59*LN(AC57) + 13.46*LN(H57) - 11.48*LN(AC57)^2 -0.85*LN(H57)^2 - 0.38*LN(AC57)*LN(H57) - VLOOKUP(G57,Y!$F$2:$H$10, 2, FALSE) ) / 100, 0)</f>
        <v>0</v>
      </c>
      <c r="AE57" s="109">
        <f t="shared" si="14"/>
        <v>0</v>
      </c>
      <c r="AF57" s="109">
        <f t="shared" si="10"/>
        <v>0</v>
      </c>
      <c r="AG57" s="110">
        <f t="shared" si="15"/>
        <v>0</v>
      </c>
      <c r="AH57" s="111">
        <f t="shared" si="16"/>
        <v>0</v>
      </c>
      <c r="AI57" s="25"/>
      <c r="AJ57" s="108">
        <f>IFERROR(#REF!*#REF!^2 /(#REF!/AA57)^2 +#REF! *#REF! /(#REF!/AA57), 0)</f>
        <v>0</v>
      </c>
      <c r="AK57" s="112">
        <f t="shared" si="17"/>
        <v>0</v>
      </c>
      <c r="AL57" s="112">
        <f t="shared" si="11"/>
        <v>0</v>
      </c>
      <c r="AM57" s="110">
        <f t="shared" si="18"/>
        <v>0</v>
      </c>
      <c r="AN57" s="109">
        <f t="shared" si="12"/>
        <v>0</v>
      </c>
      <c r="AO57" s="25"/>
      <c r="AP57" s="80">
        <f t="shared" si="19"/>
        <v>0</v>
      </c>
      <c r="AQ57" s="80">
        <f t="shared" si="13"/>
        <v>0.25</v>
      </c>
      <c r="AR57" s="25"/>
      <c r="AS57" s="66">
        <f t="shared" si="20"/>
        <v>1</v>
      </c>
      <c r="AT57" s="50">
        <f>IFERROR((MATCH(#REF!, $BA$21:$BA$23, 0) - 1)*4, 0)</f>
        <v>0</v>
      </c>
      <c r="AU57" s="48">
        <f>IFERROR(#REF!/2 + IF(J57&lt;0.75, 0, 4), 0)</f>
        <v>0</v>
      </c>
      <c r="AV57" s="48" t="str" cm="1">
        <f t="array" ref="AV57">IF($AU57&gt;0, INDEX($BA$12:$BP$19, $AU57, $AT57+AV$11), "-")</f>
        <v>-</v>
      </c>
      <c r="AW57" s="48" t="str" cm="1">
        <f t="array" ref="AW57">IF($AU57&gt;0, INDEX($BA$12:$BP$19, $AU57, $AT57+AW$11), "-")</f>
        <v>-</v>
      </c>
      <c r="AX57" s="48" t="str" cm="1">
        <f t="array" ref="AX57">IF($AU57&gt;0, INDEX($BA$12:$BP$19, $AU57, $AT57+AX$11), "-")</f>
        <v>-</v>
      </c>
      <c r="AY57" s="48" t="str" cm="1">
        <f t="array" ref="AY57">IF($AU57&gt;0, INDEX($BA$12:$BP$19, $AU57, $AT57+AY$11), "-")</f>
        <v>-</v>
      </c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</row>
    <row r="58" spans="1:69" s="91" customFormat="1" x14ac:dyDescent="0.2">
      <c r="A58" s="33" cm="1">
        <f t="array" ref="A58">IFERROR(INDEX(Operation, IFERROR(MATCH(#REF!, Y!$B$40:$B$51, 0), IFERROR(MATCH(#REF!, Y!$C$40:$C$51, 0), MATCH(#REF!, Y!$D$40:$D$51, 0))), 4), 0)</f>
        <v>0</v>
      </c>
      <c r="B58" s="105">
        <v>47</v>
      </c>
      <c r="C58" s="7"/>
      <c r="D58" s="7"/>
      <c r="E58" s="30"/>
      <c r="F58" s="8" t="str">
        <f>IF(ISBLANK(E58), "", VLOOKUP(E58, Z!$A$2:$C$4127, 3, FALSE))</f>
        <v/>
      </c>
      <c r="G58" s="60"/>
      <c r="H58" s="124"/>
      <c r="I58" s="34"/>
      <c r="J58" s="40"/>
      <c r="K58" s="41"/>
      <c r="L58" s="40"/>
      <c r="M58" s="31">
        <f t="shared" si="7"/>
        <v>0</v>
      </c>
      <c r="N58" s="7"/>
      <c r="O58" s="7"/>
      <c r="P58" s="61"/>
      <c r="Q58" s="35"/>
      <c r="R58" s="40"/>
      <c r="S58" s="31">
        <f t="shared" si="8"/>
        <v>0</v>
      </c>
      <c r="T58" s="6"/>
      <c r="U58" s="7"/>
      <c r="V58" s="30"/>
      <c r="W58" s="8" t="str">
        <f>IF(ISBLANK(V58), "", VLOOKUP(V58, Z!$A$2:$C$4127, 3, FALSE))</f>
        <v/>
      </c>
      <c r="X58" s="36"/>
      <c r="Y58" s="87">
        <f t="shared" si="9"/>
        <v>0</v>
      </c>
      <c r="Z58" s="21"/>
      <c r="AA58" s="106">
        <f>IFERROR(120*50/#REF!, 0)</f>
        <v>0</v>
      </c>
      <c r="AB58" s="106">
        <f>IFERROR(VLOOKUP($G58, Y!$F$2:$I$10, 4, FALSE), 0)</f>
        <v>0</v>
      </c>
      <c r="AC58" s="107">
        <f>IFERROR(VLOOKUP($G58, Y!$F$2:$I$10, 4, FALSE) * SQRT(H58/3600)/(I58/#REF!)^0.75, 0)</f>
        <v>0</v>
      </c>
      <c r="AD58" s="108">
        <f>IFERROR((88.59*LN(AC58) + 13.46*LN(H58) - 11.48*LN(AC58)^2 -0.85*LN(H58)^2 - 0.38*LN(AC58)*LN(H58) - VLOOKUP(G58,Y!$F$2:$H$10, 2, FALSE) ) / 100, 0)</f>
        <v>0</v>
      </c>
      <c r="AE58" s="109">
        <f t="shared" si="14"/>
        <v>0</v>
      </c>
      <c r="AF58" s="109">
        <f t="shared" si="10"/>
        <v>0</v>
      </c>
      <c r="AG58" s="110">
        <f t="shared" si="15"/>
        <v>0</v>
      </c>
      <c r="AH58" s="111">
        <f t="shared" si="16"/>
        <v>0</v>
      </c>
      <c r="AI58" s="25"/>
      <c r="AJ58" s="108">
        <f>IFERROR(#REF!*#REF!^2 /(#REF!/AA58)^2 +#REF! *#REF! /(#REF!/AA58), 0)</f>
        <v>0</v>
      </c>
      <c r="AK58" s="112">
        <f t="shared" si="17"/>
        <v>0</v>
      </c>
      <c r="AL58" s="112">
        <f t="shared" si="11"/>
        <v>0</v>
      </c>
      <c r="AM58" s="110">
        <f t="shared" si="18"/>
        <v>0</v>
      </c>
      <c r="AN58" s="109">
        <f t="shared" si="12"/>
        <v>0</v>
      </c>
      <c r="AO58" s="25"/>
      <c r="AP58" s="80">
        <f t="shared" si="19"/>
        <v>0</v>
      </c>
      <c r="AQ58" s="80">
        <f t="shared" si="13"/>
        <v>0.25</v>
      </c>
      <c r="AR58" s="25"/>
      <c r="AS58" s="66">
        <f t="shared" si="20"/>
        <v>1</v>
      </c>
      <c r="AT58" s="50">
        <f>IFERROR((MATCH(#REF!, $BA$21:$BA$23, 0) - 1)*4, 0)</f>
        <v>0</v>
      </c>
      <c r="AU58" s="48">
        <f>IFERROR(#REF!/2 + IF(J58&lt;0.75, 0, 4), 0)</f>
        <v>0</v>
      </c>
      <c r="AV58" s="48" t="str" cm="1">
        <f t="array" ref="AV58">IF($AU58&gt;0, INDEX($BA$12:$BP$19, $AU58, $AT58+AV$11), "-")</f>
        <v>-</v>
      </c>
      <c r="AW58" s="48" t="str" cm="1">
        <f t="array" ref="AW58">IF($AU58&gt;0, INDEX($BA$12:$BP$19, $AU58, $AT58+AW$11), "-")</f>
        <v>-</v>
      </c>
      <c r="AX58" s="48" t="str" cm="1">
        <f t="array" ref="AX58">IF($AU58&gt;0, INDEX($BA$12:$BP$19, $AU58, $AT58+AX$11), "-")</f>
        <v>-</v>
      </c>
      <c r="AY58" s="48" t="str" cm="1">
        <f t="array" ref="AY58">IF($AU58&gt;0, INDEX($BA$12:$BP$19, $AU58, $AT58+AY$11), "-")</f>
        <v>-</v>
      </c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</row>
    <row r="59" spans="1:69" s="91" customFormat="1" x14ac:dyDescent="0.2">
      <c r="A59" s="33" cm="1">
        <f t="array" ref="A59">IFERROR(INDEX(Operation, IFERROR(MATCH(#REF!, Y!$B$40:$B$51, 0), IFERROR(MATCH(#REF!, Y!$C$40:$C$51, 0), MATCH(#REF!, Y!$D$40:$D$51, 0))), 4), 0)</f>
        <v>0</v>
      </c>
      <c r="B59" s="105">
        <v>48</v>
      </c>
      <c r="C59" s="7"/>
      <c r="D59" s="7"/>
      <c r="E59" s="30"/>
      <c r="F59" s="8" t="str">
        <f>IF(ISBLANK(E59), "", VLOOKUP(E59, Z!$A$2:$C$4127, 3, FALSE))</f>
        <v/>
      </c>
      <c r="G59" s="60"/>
      <c r="H59" s="124"/>
      <c r="I59" s="34"/>
      <c r="J59" s="40"/>
      <c r="K59" s="41"/>
      <c r="L59" s="40"/>
      <c r="M59" s="31">
        <f t="shared" si="7"/>
        <v>0</v>
      </c>
      <c r="N59" s="7"/>
      <c r="O59" s="7"/>
      <c r="P59" s="61"/>
      <c r="Q59" s="35"/>
      <c r="R59" s="40"/>
      <c r="S59" s="31">
        <f t="shared" si="8"/>
        <v>0</v>
      </c>
      <c r="T59" s="6"/>
      <c r="U59" s="7"/>
      <c r="V59" s="30"/>
      <c r="W59" s="8" t="str">
        <f>IF(ISBLANK(V59), "", VLOOKUP(V59, Z!$A$2:$C$4127, 3, FALSE))</f>
        <v/>
      </c>
      <c r="X59" s="36"/>
      <c r="Y59" s="87">
        <f t="shared" si="9"/>
        <v>0</v>
      </c>
      <c r="Z59" s="21"/>
      <c r="AA59" s="106">
        <f>IFERROR(120*50/#REF!, 0)</f>
        <v>0</v>
      </c>
      <c r="AB59" s="106">
        <f>IFERROR(VLOOKUP($G59, Y!$F$2:$I$10, 4, FALSE), 0)</f>
        <v>0</v>
      </c>
      <c r="AC59" s="107">
        <f>IFERROR(VLOOKUP($G59, Y!$F$2:$I$10, 4, FALSE) * SQRT(H59/3600)/(I59/#REF!)^0.75, 0)</f>
        <v>0</v>
      </c>
      <c r="AD59" s="108">
        <f>IFERROR((88.59*LN(AC59) + 13.46*LN(H59) - 11.48*LN(AC59)^2 -0.85*LN(H59)^2 - 0.38*LN(AC59)*LN(H59) - VLOOKUP(G59,Y!$F$2:$H$10, 2, FALSE) ) / 100, 0)</f>
        <v>0</v>
      </c>
      <c r="AE59" s="109">
        <f t="shared" si="14"/>
        <v>0</v>
      </c>
      <c r="AF59" s="109">
        <f t="shared" si="10"/>
        <v>0</v>
      </c>
      <c r="AG59" s="110">
        <f t="shared" si="15"/>
        <v>0</v>
      </c>
      <c r="AH59" s="111">
        <f t="shared" si="16"/>
        <v>0</v>
      </c>
      <c r="AI59" s="25"/>
      <c r="AJ59" s="108">
        <f>IFERROR(#REF!*#REF!^2 /(#REF!/AA59)^2 +#REF! *#REF! /(#REF!/AA59), 0)</f>
        <v>0</v>
      </c>
      <c r="AK59" s="112">
        <f t="shared" si="17"/>
        <v>0</v>
      </c>
      <c r="AL59" s="112">
        <f t="shared" si="11"/>
        <v>0</v>
      </c>
      <c r="AM59" s="110">
        <f t="shared" si="18"/>
        <v>0</v>
      </c>
      <c r="AN59" s="109">
        <f t="shared" si="12"/>
        <v>0</v>
      </c>
      <c r="AO59" s="25"/>
      <c r="AP59" s="80">
        <f t="shared" si="19"/>
        <v>0</v>
      </c>
      <c r="AQ59" s="80">
        <f t="shared" si="13"/>
        <v>0.25</v>
      </c>
      <c r="AR59" s="25"/>
      <c r="AS59" s="66">
        <f t="shared" si="20"/>
        <v>1</v>
      </c>
      <c r="AT59" s="50">
        <f>IFERROR((MATCH(#REF!, $BA$21:$BA$23, 0) - 1)*4, 0)</f>
        <v>0</v>
      </c>
      <c r="AU59" s="48">
        <f>IFERROR(#REF!/2 + IF(J59&lt;0.75, 0, 4), 0)</f>
        <v>0</v>
      </c>
      <c r="AV59" s="48" t="str" cm="1">
        <f t="array" ref="AV59">IF($AU59&gt;0, INDEX($BA$12:$BP$19, $AU59, $AT59+AV$11), "-")</f>
        <v>-</v>
      </c>
      <c r="AW59" s="48" t="str" cm="1">
        <f t="array" ref="AW59">IF($AU59&gt;0, INDEX($BA$12:$BP$19, $AU59, $AT59+AW$11), "-")</f>
        <v>-</v>
      </c>
      <c r="AX59" s="48" t="str" cm="1">
        <f t="array" ref="AX59">IF($AU59&gt;0, INDEX($BA$12:$BP$19, $AU59, $AT59+AX$11), "-")</f>
        <v>-</v>
      </c>
      <c r="AY59" s="48" t="str" cm="1">
        <f t="array" ref="AY59">IF($AU59&gt;0, INDEX($BA$12:$BP$19, $AU59, $AT59+AY$11), "-")</f>
        <v>-</v>
      </c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</row>
    <row r="60" spans="1:69" s="91" customFormat="1" x14ac:dyDescent="0.2">
      <c r="A60" s="33" cm="1">
        <f t="array" ref="A60">IFERROR(INDEX(Operation, IFERROR(MATCH(#REF!, Y!$B$40:$B$51, 0), IFERROR(MATCH(#REF!, Y!$C$40:$C$51, 0), MATCH(#REF!, Y!$D$40:$D$51, 0))), 4), 0)</f>
        <v>0</v>
      </c>
      <c r="B60" s="105">
        <v>49</v>
      </c>
      <c r="C60" s="7"/>
      <c r="D60" s="7"/>
      <c r="E60" s="30"/>
      <c r="F60" s="8" t="str">
        <f>IF(ISBLANK(E60), "", VLOOKUP(E60, Z!$A$2:$C$4127, 3, FALSE))</f>
        <v/>
      </c>
      <c r="G60" s="60"/>
      <c r="H60" s="124"/>
      <c r="I60" s="34"/>
      <c r="J60" s="40"/>
      <c r="K60" s="41"/>
      <c r="L60" s="40"/>
      <c r="M60" s="31">
        <f t="shared" si="7"/>
        <v>0</v>
      </c>
      <c r="N60" s="7"/>
      <c r="O60" s="7"/>
      <c r="P60" s="61"/>
      <c r="Q60" s="35"/>
      <c r="R60" s="40"/>
      <c r="S60" s="31">
        <f t="shared" si="8"/>
        <v>0</v>
      </c>
      <c r="T60" s="6"/>
      <c r="U60" s="7"/>
      <c r="V60" s="30"/>
      <c r="W60" s="8" t="str">
        <f>IF(ISBLANK(V60), "", VLOOKUP(V60, Z!$A$2:$C$4127, 3, FALSE))</f>
        <v/>
      </c>
      <c r="X60" s="36"/>
      <c r="Y60" s="87">
        <f t="shared" si="9"/>
        <v>0</v>
      </c>
      <c r="Z60" s="21"/>
      <c r="AA60" s="106">
        <f>IFERROR(120*50/#REF!, 0)</f>
        <v>0</v>
      </c>
      <c r="AB60" s="106">
        <f>IFERROR(VLOOKUP($G60, Y!$F$2:$I$10, 4, FALSE), 0)</f>
        <v>0</v>
      </c>
      <c r="AC60" s="107">
        <f>IFERROR(VLOOKUP($G60, Y!$F$2:$I$10, 4, FALSE) * SQRT(H60/3600)/(I60/#REF!)^0.75, 0)</f>
        <v>0</v>
      </c>
      <c r="AD60" s="108">
        <f>IFERROR((88.59*LN(AC60) + 13.46*LN(H60) - 11.48*LN(AC60)^2 -0.85*LN(H60)^2 - 0.38*LN(AC60)*LN(H60) - VLOOKUP(G60,Y!$F$2:$H$10, 2, FALSE) ) / 100, 0)</f>
        <v>0</v>
      </c>
      <c r="AE60" s="109">
        <f t="shared" si="14"/>
        <v>0</v>
      </c>
      <c r="AF60" s="109">
        <f t="shared" si="10"/>
        <v>0</v>
      </c>
      <c r="AG60" s="110">
        <f t="shared" si="15"/>
        <v>0</v>
      </c>
      <c r="AH60" s="111">
        <f t="shared" si="16"/>
        <v>0</v>
      </c>
      <c r="AI60" s="25"/>
      <c r="AJ60" s="108">
        <f>IFERROR(#REF!*#REF!^2 /(#REF!/AA60)^2 +#REF! *#REF! /(#REF!/AA60), 0)</f>
        <v>0</v>
      </c>
      <c r="AK60" s="112">
        <f t="shared" si="17"/>
        <v>0</v>
      </c>
      <c r="AL60" s="112">
        <f t="shared" si="11"/>
        <v>0</v>
      </c>
      <c r="AM60" s="110">
        <f t="shared" si="18"/>
        <v>0</v>
      </c>
      <c r="AN60" s="109">
        <f t="shared" si="12"/>
        <v>0</v>
      </c>
      <c r="AO60" s="25"/>
      <c r="AP60" s="80">
        <f t="shared" si="19"/>
        <v>0</v>
      </c>
      <c r="AQ60" s="80">
        <f t="shared" si="13"/>
        <v>0.25</v>
      </c>
      <c r="AR60" s="25"/>
      <c r="AS60" s="66">
        <f t="shared" si="20"/>
        <v>1</v>
      </c>
      <c r="AT60" s="50">
        <f>IFERROR((MATCH(#REF!, $BA$21:$BA$23, 0) - 1)*4, 0)</f>
        <v>0</v>
      </c>
      <c r="AU60" s="48">
        <f>IFERROR(#REF!/2 + IF(J60&lt;0.75, 0, 4), 0)</f>
        <v>0</v>
      </c>
      <c r="AV60" s="48" t="str" cm="1">
        <f t="array" ref="AV60">IF($AU60&gt;0, INDEX($BA$12:$BP$19, $AU60, $AT60+AV$11), "-")</f>
        <v>-</v>
      </c>
      <c r="AW60" s="48" t="str" cm="1">
        <f t="array" ref="AW60">IF($AU60&gt;0, INDEX($BA$12:$BP$19, $AU60, $AT60+AW$11), "-")</f>
        <v>-</v>
      </c>
      <c r="AX60" s="48" t="str" cm="1">
        <f t="array" ref="AX60">IF($AU60&gt;0, INDEX($BA$12:$BP$19, $AU60, $AT60+AX$11), "-")</f>
        <v>-</v>
      </c>
      <c r="AY60" s="48" t="str" cm="1">
        <f t="array" ref="AY60">IF($AU60&gt;0, INDEX($BA$12:$BP$19, $AU60, $AT60+AY$11), "-")</f>
        <v>-</v>
      </c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</row>
    <row r="61" spans="1:69" s="91" customFormat="1" x14ac:dyDescent="0.2">
      <c r="A61" s="33" cm="1">
        <f t="array" ref="A61">IFERROR(INDEX(Operation, IFERROR(MATCH(#REF!, Y!$B$40:$B$51, 0), IFERROR(MATCH(#REF!, Y!$C$40:$C$51, 0), MATCH(#REF!, Y!$D$40:$D$51, 0))), 4), 0)</f>
        <v>0</v>
      </c>
      <c r="B61" s="105">
        <v>50</v>
      </c>
      <c r="C61" s="7"/>
      <c r="D61" s="7"/>
      <c r="E61" s="30"/>
      <c r="F61" s="8" t="str">
        <f>IF(ISBLANK(E61), "", VLOOKUP(E61, Z!$A$2:$C$4127, 3, FALSE))</f>
        <v/>
      </c>
      <c r="G61" s="60"/>
      <c r="H61" s="124"/>
      <c r="I61" s="34"/>
      <c r="J61" s="40"/>
      <c r="K61" s="41"/>
      <c r="L61" s="40"/>
      <c r="M61" s="31">
        <f t="shared" si="7"/>
        <v>0</v>
      </c>
      <c r="N61" s="7"/>
      <c r="O61" s="7"/>
      <c r="P61" s="61"/>
      <c r="Q61" s="35"/>
      <c r="R61" s="40"/>
      <c r="S61" s="31">
        <f t="shared" si="8"/>
        <v>0</v>
      </c>
      <c r="T61" s="6"/>
      <c r="U61" s="7"/>
      <c r="V61" s="30"/>
      <c r="W61" s="8" t="str">
        <f>IF(ISBLANK(V61), "", VLOOKUP(V61, Z!$A$2:$C$4127, 3, FALSE))</f>
        <v/>
      </c>
      <c r="X61" s="36"/>
      <c r="Y61" s="87">
        <f t="shared" si="9"/>
        <v>0</v>
      </c>
      <c r="Z61" s="21"/>
      <c r="AA61" s="106">
        <f>IFERROR(120*50/#REF!, 0)</f>
        <v>0</v>
      </c>
      <c r="AB61" s="106">
        <f>IFERROR(VLOOKUP($G61, Y!$F$2:$I$10, 4, FALSE), 0)</f>
        <v>0</v>
      </c>
      <c r="AC61" s="107">
        <f>IFERROR(VLOOKUP($G61, Y!$F$2:$I$10, 4, FALSE) * SQRT(H61/3600)/(I61/#REF!)^0.75, 0)</f>
        <v>0</v>
      </c>
      <c r="AD61" s="108">
        <f>IFERROR((88.59*LN(AC61) + 13.46*LN(H61) - 11.48*LN(AC61)^2 -0.85*LN(H61)^2 - 0.38*LN(AC61)*LN(H61) - VLOOKUP(G61,Y!$F$2:$H$10, 2, FALSE) ) / 100, 0)</f>
        <v>0</v>
      </c>
      <c r="AE61" s="109">
        <f t="shared" si="14"/>
        <v>0</v>
      </c>
      <c r="AF61" s="109">
        <f t="shared" si="10"/>
        <v>0</v>
      </c>
      <c r="AG61" s="110">
        <f t="shared" si="15"/>
        <v>0</v>
      </c>
      <c r="AH61" s="111">
        <f t="shared" si="16"/>
        <v>0</v>
      </c>
      <c r="AI61" s="25"/>
      <c r="AJ61" s="108">
        <f>IFERROR(#REF!*#REF!^2 /(#REF!/AA61)^2 +#REF! *#REF! /(#REF!/AA61), 0)</f>
        <v>0</v>
      </c>
      <c r="AK61" s="112">
        <f t="shared" si="17"/>
        <v>0</v>
      </c>
      <c r="AL61" s="112">
        <f t="shared" si="11"/>
        <v>0</v>
      </c>
      <c r="AM61" s="110">
        <f t="shared" si="18"/>
        <v>0</v>
      </c>
      <c r="AN61" s="109">
        <f t="shared" si="12"/>
        <v>0</v>
      </c>
      <c r="AO61" s="25"/>
      <c r="AP61" s="80">
        <f t="shared" si="19"/>
        <v>0</v>
      </c>
      <c r="AQ61" s="80">
        <f t="shared" si="13"/>
        <v>0.25</v>
      </c>
      <c r="AR61" s="25"/>
      <c r="AS61" s="66">
        <f t="shared" si="20"/>
        <v>1</v>
      </c>
      <c r="AT61" s="50">
        <f>IFERROR((MATCH(#REF!, $BA$21:$BA$23, 0) - 1)*4, 0)</f>
        <v>0</v>
      </c>
      <c r="AU61" s="48">
        <f>IFERROR(#REF!/2 + IF(J61&lt;0.75, 0, 4), 0)</f>
        <v>0</v>
      </c>
      <c r="AV61" s="48" t="str" cm="1">
        <f t="array" ref="AV61">IF($AU61&gt;0, INDEX($BA$12:$BP$19, $AU61, $AT61+AV$11), "-")</f>
        <v>-</v>
      </c>
      <c r="AW61" s="48" t="str" cm="1">
        <f t="array" ref="AW61">IF($AU61&gt;0, INDEX($BA$12:$BP$19, $AU61, $AT61+AW$11), "-")</f>
        <v>-</v>
      </c>
      <c r="AX61" s="48" t="str" cm="1">
        <f t="array" ref="AX61">IF($AU61&gt;0, INDEX($BA$12:$BP$19, $AU61, $AT61+AX$11), "-")</f>
        <v>-</v>
      </c>
      <c r="AY61" s="48" t="str" cm="1">
        <f t="array" ref="AY61">IF($AU61&gt;0, INDEX($BA$12:$BP$19, $AU61, $AT61+AY$11), "-")</f>
        <v>-</v>
      </c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</row>
    <row r="62" spans="1:69" s="91" customFormat="1" x14ac:dyDescent="0.2">
      <c r="A62" s="33" cm="1">
        <f t="array" ref="A62">IFERROR(INDEX(Operation, IFERROR(MATCH(#REF!, Y!$B$40:$B$51, 0), IFERROR(MATCH(#REF!, Y!$C$40:$C$51, 0), MATCH(#REF!, Y!$D$40:$D$51, 0))), 4), 0)</f>
        <v>0</v>
      </c>
      <c r="B62" s="105">
        <v>51</v>
      </c>
      <c r="C62" s="7"/>
      <c r="D62" s="7"/>
      <c r="E62" s="30"/>
      <c r="F62" s="8" t="str">
        <f>IF(ISBLANK(E62), "", VLOOKUP(E62, Z!$A$2:$C$4127, 3, FALSE))</f>
        <v/>
      </c>
      <c r="G62" s="60"/>
      <c r="H62" s="124"/>
      <c r="I62" s="34"/>
      <c r="J62" s="40"/>
      <c r="K62" s="41"/>
      <c r="L62" s="40"/>
      <c r="M62" s="31">
        <f t="shared" si="7"/>
        <v>0</v>
      </c>
      <c r="N62" s="7"/>
      <c r="O62" s="7"/>
      <c r="P62" s="61"/>
      <c r="Q62" s="35"/>
      <c r="R62" s="40"/>
      <c r="S62" s="31">
        <f t="shared" si="8"/>
        <v>0</v>
      </c>
      <c r="T62" s="6"/>
      <c r="U62" s="7"/>
      <c r="V62" s="30"/>
      <c r="W62" s="8" t="str">
        <f>IF(ISBLANK(V62), "", VLOOKUP(V62, Z!$A$2:$C$4127, 3, FALSE))</f>
        <v/>
      </c>
      <c r="X62" s="36"/>
      <c r="Y62" s="87">
        <f t="shared" si="9"/>
        <v>0</v>
      </c>
      <c r="Z62" s="21"/>
      <c r="AA62" s="106">
        <f>IFERROR(120*50/#REF!, 0)</f>
        <v>0</v>
      </c>
      <c r="AB62" s="106">
        <f>IFERROR(VLOOKUP($G62, Y!$F$2:$I$10, 4, FALSE), 0)</f>
        <v>0</v>
      </c>
      <c r="AC62" s="107">
        <f>IFERROR(VLOOKUP($G62, Y!$F$2:$I$10, 4, FALSE) * SQRT(H62/3600)/(I62/#REF!)^0.75, 0)</f>
        <v>0</v>
      </c>
      <c r="AD62" s="108">
        <f>IFERROR((88.59*LN(AC62) + 13.46*LN(H62) - 11.48*LN(AC62)^2 -0.85*LN(H62)^2 - 0.38*LN(AC62)*LN(H62) - VLOOKUP(G62,Y!$F$2:$H$10, 2, FALSE) ) / 100, 0)</f>
        <v>0</v>
      </c>
      <c r="AE62" s="109">
        <f t="shared" si="14"/>
        <v>0</v>
      </c>
      <c r="AF62" s="109">
        <f t="shared" si="10"/>
        <v>0</v>
      </c>
      <c r="AG62" s="110">
        <f t="shared" si="15"/>
        <v>0</v>
      </c>
      <c r="AH62" s="111">
        <f t="shared" si="16"/>
        <v>0</v>
      </c>
      <c r="AI62" s="25"/>
      <c r="AJ62" s="108">
        <f>IFERROR(#REF!*#REF!^2 /(#REF!/AA62)^2 +#REF! *#REF! /(#REF!/AA62), 0)</f>
        <v>0</v>
      </c>
      <c r="AK62" s="112">
        <f t="shared" si="17"/>
        <v>0</v>
      </c>
      <c r="AL62" s="112">
        <f t="shared" si="11"/>
        <v>0</v>
      </c>
      <c r="AM62" s="110">
        <f t="shared" si="18"/>
        <v>0</v>
      </c>
      <c r="AN62" s="109">
        <f t="shared" si="12"/>
        <v>0</v>
      </c>
      <c r="AO62" s="25"/>
      <c r="AP62" s="80">
        <f t="shared" si="19"/>
        <v>0</v>
      </c>
      <c r="AQ62" s="80">
        <f t="shared" si="13"/>
        <v>0.25</v>
      </c>
      <c r="AR62" s="25"/>
      <c r="AS62" s="66">
        <f t="shared" si="20"/>
        <v>1</v>
      </c>
      <c r="AT62" s="50">
        <f>IFERROR((MATCH(#REF!, $BA$21:$BA$23, 0) - 1)*4, 0)</f>
        <v>0</v>
      </c>
      <c r="AU62" s="48">
        <f>IFERROR(#REF!/2 + IF(J62&lt;0.75, 0, 4), 0)</f>
        <v>0</v>
      </c>
      <c r="AV62" s="48" t="str" cm="1">
        <f t="array" ref="AV62">IF($AU62&gt;0, INDEX($BA$12:$BP$19, $AU62, $AT62+AV$11), "-")</f>
        <v>-</v>
      </c>
      <c r="AW62" s="48" t="str" cm="1">
        <f t="array" ref="AW62">IF($AU62&gt;0, INDEX($BA$12:$BP$19, $AU62, $AT62+AW$11), "-")</f>
        <v>-</v>
      </c>
      <c r="AX62" s="48" t="str" cm="1">
        <f t="array" ref="AX62">IF($AU62&gt;0, INDEX($BA$12:$BP$19, $AU62, $AT62+AX$11), "-")</f>
        <v>-</v>
      </c>
      <c r="AY62" s="48" t="str" cm="1">
        <f t="array" ref="AY62">IF($AU62&gt;0, INDEX($BA$12:$BP$19, $AU62, $AT62+AY$11), "-")</f>
        <v>-</v>
      </c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</row>
    <row r="63" spans="1:69" s="91" customFormat="1" x14ac:dyDescent="0.2">
      <c r="A63" s="33" cm="1">
        <f t="array" ref="A63">IFERROR(INDEX(Operation, IFERROR(MATCH(#REF!, Y!$B$40:$B$51, 0), IFERROR(MATCH(#REF!, Y!$C$40:$C$51, 0), MATCH(#REF!, Y!$D$40:$D$51, 0))), 4), 0)</f>
        <v>0</v>
      </c>
      <c r="B63" s="105">
        <v>52</v>
      </c>
      <c r="C63" s="7"/>
      <c r="D63" s="7"/>
      <c r="E63" s="30"/>
      <c r="F63" s="8" t="str">
        <f>IF(ISBLANK(E63), "", VLOOKUP(E63, Z!$A$2:$C$4127, 3, FALSE))</f>
        <v/>
      </c>
      <c r="G63" s="60"/>
      <c r="H63" s="124"/>
      <c r="I63" s="34"/>
      <c r="J63" s="40"/>
      <c r="K63" s="41"/>
      <c r="L63" s="40"/>
      <c r="M63" s="31">
        <f t="shared" si="7"/>
        <v>0</v>
      </c>
      <c r="N63" s="7"/>
      <c r="O63" s="7"/>
      <c r="P63" s="61"/>
      <c r="Q63" s="35"/>
      <c r="R63" s="40"/>
      <c r="S63" s="31">
        <f t="shared" si="8"/>
        <v>0</v>
      </c>
      <c r="T63" s="6"/>
      <c r="U63" s="7"/>
      <c r="V63" s="30"/>
      <c r="W63" s="8" t="str">
        <f>IF(ISBLANK(V63), "", VLOOKUP(V63, Z!$A$2:$C$4127, 3, FALSE))</f>
        <v/>
      </c>
      <c r="X63" s="36"/>
      <c r="Y63" s="87">
        <f t="shared" si="9"/>
        <v>0</v>
      </c>
      <c r="Z63" s="21"/>
      <c r="AA63" s="106">
        <f>IFERROR(120*50/#REF!, 0)</f>
        <v>0</v>
      </c>
      <c r="AB63" s="106">
        <f>IFERROR(VLOOKUP($G63, Y!$F$2:$I$10, 4, FALSE), 0)</f>
        <v>0</v>
      </c>
      <c r="AC63" s="107">
        <f>IFERROR(VLOOKUP($G63, Y!$F$2:$I$10, 4, FALSE) * SQRT(H63/3600)/(I63/#REF!)^0.75, 0)</f>
        <v>0</v>
      </c>
      <c r="AD63" s="108">
        <f>IFERROR((88.59*LN(AC63) + 13.46*LN(H63) - 11.48*LN(AC63)^2 -0.85*LN(H63)^2 - 0.38*LN(AC63)*LN(H63) - VLOOKUP(G63,Y!$F$2:$H$10, 2, FALSE) ) / 100, 0)</f>
        <v>0</v>
      </c>
      <c r="AE63" s="109">
        <f t="shared" si="14"/>
        <v>0</v>
      </c>
      <c r="AF63" s="109">
        <f t="shared" si="10"/>
        <v>0</v>
      </c>
      <c r="AG63" s="110">
        <f t="shared" si="15"/>
        <v>0</v>
      </c>
      <c r="AH63" s="111">
        <f t="shared" si="16"/>
        <v>0</v>
      </c>
      <c r="AI63" s="25"/>
      <c r="AJ63" s="108">
        <f>IFERROR(#REF!*#REF!^2 /(#REF!/AA63)^2 +#REF! *#REF! /(#REF!/AA63), 0)</f>
        <v>0</v>
      </c>
      <c r="AK63" s="112">
        <f t="shared" si="17"/>
        <v>0</v>
      </c>
      <c r="AL63" s="112">
        <f t="shared" si="11"/>
        <v>0</v>
      </c>
      <c r="AM63" s="110">
        <f t="shared" si="18"/>
        <v>0</v>
      </c>
      <c r="AN63" s="109">
        <f t="shared" si="12"/>
        <v>0</v>
      </c>
      <c r="AO63" s="25"/>
      <c r="AP63" s="80">
        <f t="shared" si="19"/>
        <v>0</v>
      </c>
      <c r="AQ63" s="80">
        <f t="shared" si="13"/>
        <v>0.25</v>
      </c>
      <c r="AR63" s="25"/>
      <c r="AS63" s="66">
        <f t="shared" si="20"/>
        <v>1</v>
      </c>
      <c r="AT63" s="50">
        <f>IFERROR((MATCH(#REF!, $BA$21:$BA$23, 0) - 1)*4, 0)</f>
        <v>0</v>
      </c>
      <c r="AU63" s="48">
        <f>IFERROR(#REF!/2 + IF(J63&lt;0.75, 0, 4), 0)</f>
        <v>0</v>
      </c>
      <c r="AV63" s="48" t="str" cm="1">
        <f t="array" ref="AV63">IF($AU63&gt;0, INDEX($BA$12:$BP$19, $AU63, $AT63+AV$11), "-")</f>
        <v>-</v>
      </c>
      <c r="AW63" s="48" t="str" cm="1">
        <f t="array" ref="AW63">IF($AU63&gt;0, INDEX($BA$12:$BP$19, $AU63, $AT63+AW$11), "-")</f>
        <v>-</v>
      </c>
      <c r="AX63" s="48" t="str" cm="1">
        <f t="array" ref="AX63">IF($AU63&gt;0, INDEX($BA$12:$BP$19, $AU63, $AT63+AX$11), "-")</f>
        <v>-</v>
      </c>
      <c r="AY63" s="48" t="str" cm="1">
        <f t="array" ref="AY63">IF($AU63&gt;0, INDEX($BA$12:$BP$19, $AU63, $AT63+AY$11), "-")</f>
        <v>-</v>
      </c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</row>
    <row r="64" spans="1:69" s="91" customFormat="1" x14ac:dyDescent="0.2">
      <c r="A64" s="33" cm="1">
        <f t="array" ref="A64">IFERROR(INDEX(Operation, IFERROR(MATCH(#REF!, Y!$B$40:$B$51, 0), IFERROR(MATCH(#REF!, Y!$C$40:$C$51, 0), MATCH(#REF!, Y!$D$40:$D$51, 0))), 4), 0)</f>
        <v>0</v>
      </c>
      <c r="B64" s="105">
        <v>53</v>
      </c>
      <c r="C64" s="7"/>
      <c r="D64" s="7"/>
      <c r="E64" s="30"/>
      <c r="F64" s="8" t="str">
        <f>IF(ISBLANK(E64), "", VLOOKUP(E64, Z!$A$2:$C$4127, 3, FALSE))</f>
        <v/>
      </c>
      <c r="G64" s="60"/>
      <c r="H64" s="124"/>
      <c r="I64" s="34"/>
      <c r="J64" s="40"/>
      <c r="K64" s="41"/>
      <c r="L64" s="40"/>
      <c r="M64" s="31">
        <f t="shared" si="7"/>
        <v>0</v>
      </c>
      <c r="N64" s="7"/>
      <c r="O64" s="7"/>
      <c r="P64" s="61"/>
      <c r="Q64" s="35"/>
      <c r="R64" s="40"/>
      <c r="S64" s="31">
        <f t="shared" si="8"/>
        <v>0</v>
      </c>
      <c r="T64" s="6"/>
      <c r="U64" s="7"/>
      <c r="V64" s="30"/>
      <c r="W64" s="8" t="str">
        <f>IF(ISBLANK(V64), "", VLOOKUP(V64, Z!$A$2:$C$4127, 3, FALSE))</f>
        <v/>
      </c>
      <c r="X64" s="36"/>
      <c r="Y64" s="87">
        <f t="shared" si="9"/>
        <v>0</v>
      </c>
      <c r="Z64" s="21"/>
      <c r="AA64" s="106">
        <f>IFERROR(120*50/#REF!, 0)</f>
        <v>0</v>
      </c>
      <c r="AB64" s="106">
        <f>IFERROR(VLOOKUP($G64, Y!$F$2:$I$10, 4, FALSE), 0)</f>
        <v>0</v>
      </c>
      <c r="AC64" s="107">
        <f>IFERROR(VLOOKUP($G64, Y!$F$2:$I$10, 4, FALSE) * SQRT(H64/3600)/(I64/#REF!)^0.75, 0)</f>
        <v>0</v>
      </c>
      <c r="AD64" s="108">
        <f>IFERROR((88.59*LN(AC64) + 13.46*LN(H64) - 11.48*LN(AC64)^2 -0.85*LN(H64)^2 - 0.38*LN(AC64)*LN(H64) - VLOOKUP(G64,Y!$F$2:$H$10, 2, FALSE) ) / 100, 0)</f>
        <v>0</v>
      </c>
      <c r="AE64" s="109">
        <f t="shared" si="14"/>
        <v>0</v>
      </c>
      <c r="AF64" s="109">
        <f t="shared" si="10"/>
        <v>0</v>
      </c>
      <c r="AG64" s="110">
        <f t="shared" si="15"/>
        <v>0</v>
      </c>
      <c r="AH64" s="111">
        <f t="shared" si="16"/>
        <v>0</v>
      </c>
      <c r="AI64" s="25"/>
      <c r="AJ64" s="108">
        <f>IFERROR(#REF!*#REF!^2 /(#REF!/AA64)^2 +#REF! *#REF! /(#REF!/AA64), 0)</f>
        <v>0</v>
      </c>
      <c r="AK64" s="112">
        <f t="shared" si="17"/>
        <v>0</v>
      </c>
      <c r="AL64" s="112">
        <f t="shared" si="11"/>
        <v>0</v>
      </c>
      <c r="AM64" s="110">
        <f t="shared" si="18"/>
        <v>0</v>
      </c>
      <c r="AN64" s="109">
        <f t="shared" si="12"/>
        <v>0</v>
      </c>
      <c r="AO64" s="25"/>
      <c r="AP64" s="80">
        <f t="shared" si="19"/>
        <v>0</v>
      </c>
      <c r="AQ64" s="80">
        <f t="shared" si="13"/>
        <v>0.25</v>
      </c>
      <c r="AR64" s="25"/>
      <c r="AS64" s="66">
        <f t="shared" si="20"/>
        <v>1</v>
      </c>
      <c r="AT64" s="50">
        <f>IFERROR((MATCH(#REF!, $BA$21:$BA$23, 0) - 1)*4, 0)</f>
        <v>0</v>
      </c>
      <c r="AU64" s="48">
        <f>IFERROR(#REF!/2 + IF(J64&lt;0.75, 0, 4), 0)</f>
        <v>0</v>
      </c>
      <c r="AV64" s="48" t="str" cm="1">
        <f t="array" ref="AV64">IF($AU64&gt;0, INDEX($BA$12:$BP$19, $AU64, $AT64+AV$11), "-")</f>
        <v>-</v>
      </c>
      <c r="AW64" s="48" t="str" cm="1">
        <f t="array" ref="AW64">IF($AU64&gt;0, INDEX($BA$12:$BP$19, $AU64, $AT64+AW$11), "-")</f>
        <v>-</v>
      </c>
      <c r="AX64" s="48" t="str" cm="1">
        <f t="array" ref="AX64">IF($AU64&gt;0, INDEX($BA$12:$BP$19, $AU64, $AT64+AX$11), "-")</f>
        <v>-</v>
      </c>
      <c r="AY64" s="48" t="str" cm="1">
        <f t="array" ref="AY64">IF($AU64&gt;0, INDEX($BA$12:$BP$19, $AU64, $AT64+AY$11), "-")</f>
        <v>-</v>
      </c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</row>
    <row r="65" spans="1:69" s="91" customFormat="1" x14ac:dyDescent="0.2">
      <c r="A65" s="33" cm="1">
        <f t="array" ref="A65">IFERROR(INDEX(Operation, IFERROR(MATCH(#REF!, Y!$B$40:$B$51, 0), IFERROR(MATCH(#REF!, Y!$C$40:$C$51, 0), MATCH(#REF!, Y!$D$40:$D$51, 0))), 4), 0)</f>
        <v>0</v>
      </c>
      <c r="B65" s="105">
        <v>54</v>
      </c>
      <c r="C65" s="7"/>
      <c r="D65" s="7"/>
      <c r="E65" s="30"/>
      <c r="F65" s="8" t="str">
        <f>IF(ISBLANK(E65), "", VLOOKUP(E65, Z!$A$2:$C$4127, 3, FALSE))</f>
        <v/>
      </c>
      <c r="G65" s="60"/>
      <c r="H65" s="124"/>
      <c r="I65" s="34"/>
      <c r="J65" s="40"/>
      <c r="K65" s="41"/>
      <c r="L65" s="40"/>
      <c r="M65" s="31">
        <f t="shared" si="7"/>
        <v>0</v>
      </c>
      <c r="N65" s="7"/>
      <c r="O65" s="7"/>
      <c r="P65" s="61"/>
      <c r="Q65" s="35"/>
      <c r="R65" s="40"/>
      <c r="S65" s="31">
        <f t="shared" si="8"/>
        <v>0</v>
      </c>
      <c r="T65" s="6"/>
      <c r="U65" s="7"/>
      <c r="V65" s="30"/>
      <c r="W65" s="8" t="str">
        <f>IF(ISBLANK(V65), "", VLOOKUP(V65, Z!$A$2:$C$4127, 3, FALSE))</f>
        <v/>
      </c>
      <c r="X65" s="36"/>
      <c r="Y65" s="87">
        <f t="shared" si="9"/>
        <v>0</v>
      </c>
      <c r="Z65" s="21"/>
      <c r="AA65" s="106">
        <f>IFERROR(120*50/#REF!, 0)</f>
        <v>0</v>
      </c>
      <c r="AB65" s="106">
        <f>IFERROR(VLOOKUP($G65, Y!$F$2:$I$10, 4, FALSE), 0)</f>
        <v>0</v>
      </c>
      <c r="AC65" s="107">
        <f>IFERROR(VLOOKUP($G65, Y!$F$2:$I$10, 4, FALSE) * SQRT(H65/3600)/(I65/#REF!)^0.75, 0)</f>
        <v>0</v>
      </c>
      <c r="AD65" s="108">
        <f>IFERROR((88.59*LN(AC65) + 13.46*LN(H65) - 11.48*LN(AC65)^2 -0.85*LN(H65)^2 - 0.38*LN(AC65)*LN(H65) - VLOOKUP(G65,Y!$F$2:$H$10, 2, FALSE) ) / 100, 0)</f>
        <v>0</v>
      </c>
      <c r="AE65" s="109">
        <f t="shared" si="14"/>
        <v>0</v>
      </c>
      <c r="AF65" s="109">
        <f t="shared" si="10"/>
        <v>0</v>
      </c>
      <c r="AG65" s="110">
        <f t="shared" si="15"/>
        <v>0</v>
      </c>
      <c r="AH65" s="111">
        <f t="shared" si="16"/>
        <v>0</v>
      </c>
      <c r="AI65" s="25"/>
      <c r="AJ65" s="108">
        <f>IFERROR(#REF!*#REF!^2 /(#REF!/AA65)^2 +#REF! *#REF! /(#REF!/AA65), 0)</f>
        <v>0</v>
      </c>
      <c r="AK65" s="112">
        <f t="shared" si="17"/>
        <v>0</v>
      </c>
      <c r="AL65" s="112">
        <f t="shared" si="11"/>
        <v>0</v>
      </c>
      <c r="AM65" s="110">
        <f t="shared" si="18"/>
        <v>0</v>
      </c>
      <c r="AN65" s="109">
        <f t="shared" si="12"/>
        <v>0</v>
      </c>
      <c r="AO65" s="25"/>
      <c r="AP65" s="80">
        <f t="shared" si="19"/>
        <v>0</v>
      </c>
      <c r="AQ65" s="80">
        <f t="shared" si="13"/>
        <v>0.25</v>
      </c>
      <c r="AR65" s="25"/>
      <c r="AS65" s="66">
        <f t="shared" si="20"/>
        <v>1</v>
      </c>
      <c r="AT65" s="50">
        <f>IFERROR((MATCH(#REF!, $BA$21:$BA$23, 0) - 1)*4, 0)</f>
        <v>0</v>
      </c>
      <c r="AU65" s="48">
        <f>IFERROR(#REF!/2 + IF(J65&lt;0.75, 0, 4), 0)</f>
        <v>0</v>
      </c>
      <c r="AV65" s="48" t="str" cm="1">
        <f t="array" ref="AV65">IF($AU65&gt;0, INDEX($BA$12:$BP$19, $AU65, $AT65+AV$11), "-")</f>
        <v>-</v>
      </c>
      <c r="AW65" s="48" t="str" cm="1">
        <f t="array" ref="AW65">IF($AU65&gt;0, INDEX($BA$12:$BP$19, $AU65, $AT65+AW$11), "-")</f>
        <v>-</v>
      </c>
      <c r="AX65" s="48" t="str" cm="1">
        <f t="array" ref="AX65">IF($AU65&gt;0, INDEX($BA$12:$BP$19, $AU65, $AT65+AX$11), "-")</f>
        <v>-</v>
      </c>
      <c r="AY65" s="48" t="str" cm="1">
        <f t="array" ref="AY65">IF($AU65&gt;0, INDEX($BA$12:$BP$19, $AU65, $AT65+AY$11), "-")</f>
        <v>-</v>
      </c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</row>
    <row r="66" spans="1:69" s="91" customFormat="1" x14ac:dyDescent="0.2">
      <c r="A66" s="33" cm="1">
        <f t="array" ref="A66">IFERROR(INDEX(Operation, IFERROR(MATCH(#REF!, Y!$B$40:$B$51, 0), IFERROR(MATCH(#REF!, Y!$C$40:$C$51, 0), MATCH(#REF!, Y!$D$40:$D$51, 0))), 4), 0)</f>
        <v>0</v>
      </c>
      <c r="B66" s="105">
        <v>55</v>
      </c>
      <c r="C66" s="7"/>
      <c r="D66" s="7"/>
      <c r="E66" s="30"/>
      <c r="F66" s="8" t="str">
        <f>IF(ISBLANK(E66), "", VLOOKUP(E66, Z!$A$2:$C$4127, 3, FALSE))</f>
        <v/>
      </c>
      <c r="G66" s="60"/>
      <c r="H66" s="124"/>
      <c r="I66" s="34"/>
      <c r="J66" s="40"/>
      <c r="K66" s="41"/>
      <c r="L66" s="40"/>
      <c r="M66" s="31">
        <f t="shared" si="7"/>
        <v>0</v>
      </c>
      <c r="N66" s="7"/>
      <c r="O66" s="7"/>
      <c r="P66" s="61"/>
      <c r="Q66" s="35"/>
      <c r="R66" s="40"/>
      <c r="S66" s="31">
        <f t="shared" si="8"/>
        <v>0</v>
      </c>
      <c r="T66" s="6"/>
      <c r="U66" s="7"/>
      <c r="V66" s="30"/>
      <c r="W66" s="8" t="str">
        <f>IF(ISBLANK(V66), "", VLOOKUP(V66, Z!$A$2:$C$4127, 3, FALSE))</f>
        <v/>
      </c>
      <c r="X66" s="36"/>
      <c r="Y66" s="87">
        <f t="shared" si="9"/>
        <v>0</v>
      </c>
      <c r="Z66" s="21"/>
      <c r="AA66" s="106">
        <f>IFERROR(120*50/#REF!, 0)</f>
        <v>0</v>
      </c>
      <c r="AB66" s="106">
        <f>IFERROR(VLOOKUP($G66, Y!$F$2:$I$10, 4, FALSE), 0)</f>
        <v>0</v>
      </c>
      <c r="AC66" s="107">
        <f>IFERROR(VLOOKUP($G66, Y!$F$2:$I$10, 4, FALSE) * SQRT(H66/3600)/(I66/#REF!)^0.75, 0)</f>
        <v>0</v>
      </c>
      <c r="AD66" s="108">
        <f>IFERROR((88.59*LN(AC66) + 13.46*LN(H66) - 11.48*LN(AC66)^2 -0.85*LN(H66)^2 - 0.38*LN(AC66)*LN(H66) - VLOOKUP(G66,Y!$F$2:$H$10, 2, FALSE) ) / 100, 0)</f>
        <v>0</v>
      </c>
      <c r="AE66" s="109">
        <f t="shared" si="14"/>
        <v>0</v>
      </c>
      <c r="AF66" s="109">
        <f t="shared" si="10"/>
        <v>0</v>
      </c>
      <c r="AG66" s="110">
        <f t="shared" si="15"/>
        <v>0</v>
      </c>
      <c r="AH66" s="111">
        <f t="shared" si="16"/>
        <v>0</v>
      </c>
      <c r="AI66" s="25"/>
      <c r="AJ66" s="108">
        <f>IFERROR(#REF!*#REF!^2 /(#REF!/AA66)^2 +#REF! *#REF! /(#REF!/AA66), 0)</f>
        <v>0</v>
      </c>
      <c r="AK66" s="112">
        <f t="shared" si="17"/>
        <v>0</v>
      </c>
      <c r="AL66" s="112">
        <f t="shared" si="11"/>
        <v>0</v>
      </c>
      <c r="AM66" s="110">
        <f t="shared" si="18"/>
        <v>0</v>
      </c>
      <c r="AN66" s="109">
        <f t="shared" si="12"/>
        <v>0</v>
      </c>
      <c r="AO66" s="25"/>
      <c r="AP66" s="80">
        <f t="shared" si="19"/>
        <v>0</v>
      </c>
      <c r="AQ66" s="80">
        <f t="shared" si="13"/>
        <v>0.25</v>
      </c>
      <c r="AR66" s="25"/>
      <c r="AS66" s="66">
        <f t="shared" si="20"/>
        <v>1</v>
      </c>
      <c r="AT66" s="50">
        <f>IFERROR((MATCH(#REF!, $BA$21:$BA$23, 0) - 1)*4, 0)</f>
        <v>0</v>
      </c>
      <c r="AU66" s="48">
        <f>IFERROR(#REF!/2 + IF(J66&lt;0.75, 0, 4), 0)</f>
        <v>0</v>
      </c>
      <c r="AV66" s="48" t="str" cm="1">
        <f t="array" ref="AV66">IF($AU66&gt;0, INDEX($BA$12:$BP$19, $AU66, $AT66+AV$11), "-")</f>
        <v>-</v>
      </c>
      <c r="AW66" s="48" t="str" cm="1">
        <f t="array" ref="AW66">IF($AU66&gt;0, INDEX($BA$12:$BP$19, $AU66, $AT66+AW$11), "-")</f>
        <v>-</v>
      </c>
      <c r="AX66" s="48" t="str" cm="1">
        <f t="array" ref="AX66">IF($AU66&gt;0, INDEX($BA$12:$BP$19, $AU66, $AT66+AX$11), "-")</f>
        <v>-</v>
      </c>
      <c r="AY66" s="48" t="str" cm="1">
        <f t="array" ref="AY66">IF($AU66&gt;0, INDEX($BA$12:$BP$19, $AU66, $AT66+AY$11), "-")</f>
        <v>-</v>
      </c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</row>
    <row r="67" spans="1:69" s="91" customFormat="1" x14ac:dyDescent="0.2">
      <c r="A67" s="33" cm="1">
        <f t="array" ref="A67">IFERROR(INDEX(Operation, IFERROR(MATCH(#REF!, Y!$B$40:$B$51, 0), IFERROR(MATCH(#REF!, Y!$C$40:$C$51, 0), MATCH(#REF!, Y!$D$40:$D$51, 0))), 4), 0)</f>
        <v>0</v>
      </c>
      <c r="B67" s="105">
        <v>56</v>
      </c>
      <c r="C67" s="7"/>
      <c r="D67" s="7"/>
      <c r="E67" s="30"/>
      <c r="F67" s="8" t="str">
        <f>IF(ISBLANK(E67), "", VLOOKUP(E67, Z!$A$2:$C$4127, 3, FALSE))</f>
        <v/>
      </c>
      <c r="G67" s="60"/>
      <c r="H67" s="124"/>
      <c r="I67" s="34"/>
      <c r="J67" s="40"/>
      <c r="K67" s="41"/>
      <c r="L67" s="40"/>
      <c r="M67" s="31">
        <f t="shared" si="7"/>
        <v>0</v>
      </c>
      <c r="N67" s="7"/>
      <c r="O67" s="7"/>
      <c r="P67" s="61"/>
      <c r="Q67" s="35"/>
      <c r="R67" s="40"/>
      <c r="S67" s="31">
        <f t="shared" si="8"/>
        <v>0</v>
      </c>
      <c r="T67" s="6"/>
      <c r="U67" s="7"/>
      <c r="V67" s="30"/>
      <c r="W67" s="8" t="str">
        <f>IF(ISBLANK(V67), "", VLOOKUP(V67, Z!$A$2:$C$4127, 3, FALSE))</f>
        <v/>
      </c>
      <c r="X67" s="36"/>
      <c r="Y67" s="87">
        <f t="shared" si="9"/>
        <v>0</v>
      </c>
      <c r="Z67" s="21"/>
      <c r="AA67" s="106">
        <f>IFERROR(120*50/#REF!, 0)</f>
        <v>0</v>
      </c>
      <c r="AB67" s="106">
        <f>IFERROR(VLOOKUP($G67, Y!$F$2:$I$10, 4, FALSE), 0)</f>
        <v>0</v>
      </c>
      <c r="AC67" s="107">
        <f>IFERROR(VLOOKUP($G67, Y!$F$2:$I$10, 4, FALSE) * SQRT(H67/3600)/(I67/#REF!)^0.75, 0)</f>
        <v>0</v>
      </c>
      <c r="AD67" s="108">
        <f>IFERROR((88.59*LN(AC67) + 13.46*LN(H67) - 11.48*LN(AC67)^2 -0.85*LN(H67)^2 - 0.38*LN(AC67)*LN(H67) - VLOOKUP(G67,Y!$F$2:$H$10, 2, FALSE) ) / 100, 0)</f>
        <v>0</v>
      </c>
      <c r="AE67" s="109">
        <f t="shared" si="14"/>
        <v>0</v>
      </c>
      <c r="AF67" s="109">
        <f t="shared" si="10"/>
        <v>0</v>
      </c>
      <c r="AG67" s="110">
        <f t="shared" si="15"/>
        <v>0</v>
      </c>
      <c r="AH67" s="111">
        <f t="shared" si="16"/>
        <v>0</v>
      </c>
      <c r="AI67" s="25"/>
      <c r="AJ67" s="108">
        <f>IFERROR(#REF!*#REF!^2 /(#REF!/AA67)^2 +#REF! *#REF! /(#REF!/AA67), 0)</f>
        <v>0</v>
      </c>
      <c r="AK67" s="112">
        <f t="shared" si="17"/>
        <v>0</v>
      </c>
      <c r="AL67" s="112">
        <f t="shared" si="11"/>
        <v>0</v>
      </c>
      <c r="AM67" s="110">
        <f t="shared" si="18"/>
        <v>0</v>
      </c>
      <c r="AN67" s="109">
        <f t="shared" si="12"/>
        <v>0</v>
      </c>
      <c r="AO67" s="25"/>
      <c r="AP67" s="80">
        <f t="shared" si="19"/>
        <v>0</v>
      </c>
      <c r="AQ67" s="80">
        <f t="shared" si="13"/>
        <v>0.25</v>
      </c>
      <c r="AR67" s="25"/>
      <c r="AS67" s="66">
        <f t="shared" si="20"/>
        <v>1</v>
      </c>
      <c r="AT67" s="50">
        <f>IFERROR((MATCH(#REF!, $BA$21:$BA$23, 0) - 1)*4, 0)</f>
        <v>0</v>
      </c>
      <c r="AU67" s="48">
        <f>IFERROR(#REF!/2 + IF(J67&lt;0.75, 0, 4), 0)</f>
        <v>0</v>
      </c>
      <c r="AV67" s="48" t="str" cm="1">
        <f t="array" ref="AV67">IF($AU67&gt;0, INDEX($BA$12:$BP$19, $AU67, $AT67+AV$11), "-")</f>
        <v>-</v>
      </c>
      <c r="AW67" s="48" t="str" cm="1">
        <f t="array" ref="AW67">IF($AU67&gt;0, INDEX($BA$12:$BP$19, $AU67, $AT67+AW$11), "-")</f>
        <v>-</v>
      </c>
      <c r="AX67" s="48" t="str" cm="1">
        <f t="array" ref="AX67">IF($AU67&gt;0, INDEX($BA$12:$BP$19, $AU67, $AT67+AX$11), "-")</f>
        <v>-</v>
      </c>
      <c r="AY67" s="48" t="str" cm="1">
        <f t="array" ref="AY67">IF($AU67&gt;0, INDEX($BA$12:$BP$19, $AU67, $AT67+AY$11), "-")</f>
        <v>-</v>
      </c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</row>
    <row r="68" spans="1:69" s="91" customFormat="1" x14ac:dyDescent="0.2">
      <c r="A68" s="33" cm="1">
        <f t="array" ref="A68">IFERROR(INDEX(Operation, IFERROR(MATCH(#REF!, Y!$B$40:$B$51, 0), IFERROR(MATCH(#REF!, Y!$C$40:$C$51, 0), MATCH(#REF!, Y!$D$40:$D$51, 0))), 4), 0)</f>
        <v>0</v>
      </c>
      <c r="B68" s="105">
        <v>57</v>
      </c>
      <c r="C68" s="7"/>
      <c r="D68" s="7"/>
      <c r="E68" s="30"/>
      <c r="F68" s="8" t="str">
        <f>IF(ISBLANK(E68), "", VLOOKUP(E68, Z!$A$2:$C$4127, 3, FALSE))</f>
        <v/>
      </c>
      <c r="G68" s="60"/>
      <c r="H68" s="124"/>
      <c r="I68" s="34"/>
      <c r="J68" s="40"/>
      <c r="K68" s="41"/>
      <c r="L68" s="40"/>
      <c r="M68" s="31">
        <f t="shared" si="7"/>
        <v>0</v>
      </c>
      <c r="N68" s="7"/>
      <c r="O68" s="7"/>
      <c r="P68" s="61"/>
      <c r="Q68" s="35"/>
      <c r="R68" s="40"/>
      <c r="S68" s="31">
        <f t="shared" si="8"/>
        <v>0</v>
      </c>
      <c r="T68" s="6"/>
      <c r="U68" s="7"/>
      <c r="V68" s="30"/>
      <c r="W68" s="8" t="str">
        <f>IF(ISBLANK(V68), "", VLOOKUP(V68, Z!$A$2:$C$4127, 3, FALSE))</f>
        <v/>
      </c>
      <c r="X68" s="36"/>
      <c r="Y68" s="87">
        <f t="shared" si="9"/>
        <v>0</v>
      </c>
      <c r="Z68" s="21"/>
      <c r="AA68" s="106">
        <f>IFERROR(120*50/#REF!, 0)</f>
        <v>0</v>
      </c>
      <c r="AB68" s="106">
        <f>IFERROR(VLOOKUP($G68, Y!$F$2:$I$10, 4, FALSE), 0)</f>
        <v>0</v>
      </c>
      <c r="AC68" s="107">
        <f>IFERROR(VLOOKUP($G68, Y!$F$2:$I$10, 4, FALSE) * SQRT(H68/3600)/(I68/#REF!)^0.75, 0)</f>
        <v>0</v>
      </c>
      <c r="AD68" s="108">
        <f>IFERROR((88.59*LN(AC68) + 13.46*LN(H68) - 11.48*LN(AC68)^2 -0.85*LN(H68)^2 - 0.38*LN(AC68)*LN(H68) - VLOOKUP(G68,Y!$F$2:$H$10, 2, FALSE) ) / 100, 0)</f>
        <v>0</v>
      </c>
      <c r="AE68" s="109">
        <f t="shared" si="14"/>
        <v>0</v>
      </c>
      <c r="AF68" s="109">
        <f t="shared" si="10"/>
        <v>0</v>
      </c>
      <c r="AG68" s="110">
        <f t="shared" si="15"/>
        <v>0</v>
      </c>
      <c r="AH68" s="111">
        <f t="shared" si="16"/>
        <v>0</v>
      </c>
      <c r="AI68" s="25"/>
      <c r="AJ68" s="108">
        <f>IFERROR(#REF!*#REF!^2 /(#REF!/AA68)^2 +#REF! *#REF! /(#REF!/AA68), 0)</f>
        <v>0</v>
      </c>
      <c r="AK68" s="112">
        <f t="shared" si="17"/>
        <v>0</v>
      </c>
      <c r="AL68" s="112">
        <f t="shared" si="11"/>
        <v>0</v>
      </c>
      <c r="AM68" s="110">
        <f t="shared" si="18"/>
        <v>0</v>
      </c>
      <c r="AN68" s="109">
        <f t="shared" si="12"/>
        <v>0</v>
      </c>
      <c r="AO68" s="25"/>
      <c r="AP68" s="80">
        <f t="shared" si="19"/>
        <v>0</v>
      </c>
      <c r="AQ68" s="80">
        <f t="shared" si="13"/>
        <v>0.25</v>
      </c>
      <c r="AR68" s="25"/>
      <c r="AS68" s="66">
        <f t="shared" si="20"/>
        <v>1</v>
      </c>
      <c r="AT68" s="50">
        <f>IFERROR((MATCH(#REF!, $BA$21:$BA$23, 0) - 1)*4, 0)</f>
        <v>0</v>
      </c>
      <c r="AU68" s="48">
        <f>IFERROR(#REF!/2 + IF(J68&lt;0.75, 0, 4), 0)</f>
        <v>0</v>
      </c>
      <c r="AV68" s="48" t="str" cm="1">
        <f t="array" ref="AV68">IF($AU68&gt;0, INDEX($BA$12:$BP$19, $AU68, $AT68+AV$11), "-")</f>
        <v>-</v>
      </c>
      <c r="AW68" s="48" t="str" cm="1">
        <f t="array" ref="AW68">IF($AU68&gt;0, INDEX($BA$12:$BP$19, $AU68, $AT68+AW$11), "-")</f>
        <v>-</v>
      </c>
      <c r="AX68" s="48" t="str" cm="1">
        <f t="array" ref="AX68">IF($AU68&gt;0, INDEX($BA$12:$BP$19, $AU68, $AT68+AX$11), "-")</f>
        <v>-</v>
      </c>
      <c r="AY68" s="48" t="str" cm="1">
        <f t="array" ref="AY68">IF($AU68&gt;0, INDEX($BA$12:$BP$19, $AU68, $AT68+AY$11), "-")</f>
        <v>-</v>
      </c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</row>
    <row r="69" spans="1:69" s="91" customFormat="1" x14ac:dyDescent="0.2">
      <c r="A69" s="33" cm="1">
        <f t="array" ref="A69">IFERROR(INDEX(Operation, IFERROR(MATCH(#REF!, Y!$B$40:$B$51, 0), IFERROR(MATCH(#REF!, Y!$C$40:$C$51, 0), MATCH(#REF!, Y!$D$40:$D$51, 0))), 4), 0)</f>
        <v>0</v>
      </c>
      <c r="B69" s="105">
        <v>58</v>
      </c>
      <c r="C69" s="7"/>
      <c r="D69" s="7"/>
      <c r="E69" s="30"/>
      <c r="F69" s="8" t="str">
        <f>IF(ISBLANK(E69), "", VLOOKUP(E69, Z!$A$2:$C$4127, 3, FALSE))</f>
        <v/>
      </c>
      <c r="G69" s="60"/>
      <c r="H69" s="124"/>
      <c r="I69" s="34"/>
      <c r="J69" s="40"/>
      <c r="K69" s="41"/>
      <c r="L69" s="40"/>
      <c r="M69" s="31">
        <f t="shared" si="7"/>
        <v>0</v>
      </c>
      <c r="N69" s="7"/>
      <c r="O69" s="7"/>
      <c r="P69" s="61"/>
      <c r="Q69" s="35"/>
      <c r="R69" s="40"/>
      <c r="S69" s="31">
        <f t="shared" si="8"/>
        <v>0</v>
      </c>
      <c r="T69" s="6"/>
      <c r="U69" s="7"/>
      <c r="V69" s="30"/>
      <c r="W69" s="8" t="str">
        <f>IF(ISBLANK(V69), "", VLOOKUP(V69, Z!$A$2:$C$4127, 3, FALSE))</f>
        <v/>
      </c>
      <c r="X69" s="36"/>
      <c r="Y69" s="87">
        <f t="shared" si="9"/>
        <v>0</v>
      </c>
      <c r="Z69" s="21"/>
      <c r="AA69" s="106">
        <f>IFERROR(120*50/#REF!, 0)</f>
        <v>0</v>
      </c>
      <c r="AB69" s="106">
        <f>IFERROR(VLOOKUP($G69, Y!$F$2:$I$10, 4, FALSE), 0)</f>
        <v>0</v>
      </c>
      <c r="AC69" s="107">
        <f>IFERROR(VLOOKUP($G69, Y!$F$2:$I$10, 4, FALSE) * SQRT(H69/3600)/(I69/#REF!)^0.75, 0)</f>
        <v>0</v>
      </c>
      <c r="AD69" s="108">
        <f>IFERROR((88.59*LN(AC69) + 13.46*LN(H69) - 11.48*LN(AC69)^2 -0.85*LN(H69)^2 - 0.38*LN(AC69)*LN(H69) - VLOOKUP(G69,Y!$F$2:$H$10, 2, FALSE) ) / 100, 0)</f>
        <v>0</v>
      </c>
      <c r="AE69" s="109">
        <f t="shared" si="14"/>
        <v>0</v>
      </c>
      <c r="AF69" s="109">
        <f t="shared" si="10"/>
        <v>0</v>
      </c>
      <c r="AG69" s="110">
        <f t="shared" si="15"/>
        <v>0</v>
      </c>
      <c r="AH69" s="111">
        <f t="shared" si="16"/>
        <v>0</v>
      </c>
      <c r="AI69" s="25"/>
      <c r="AJ69" s="108">
        <f>IFERROR(#REF!*#REF!^2 /(#REF!/AA69)^2 +#REF! *#REF! /(#REF!/AA69), 0)</f>
        <v>0</v>
      </c>
      <c r="AK69" s="112">
        <f t="shared" si="17"/>
        <v>0</v>
      </c>
      <c r="AL69" s="112">
        <f t="shared" si="11"/>
        <v>0</v>
      </c>
      <c r="AM69" s="110">
        <f t="shared" si="18"/>
        <v>0</v>
      </c>
      <c r="AN69" s="109">
        <f t="shared" si="12"/>
        <v>0</v>
      </c>
      <c r="AO69" s="25"/>
      <c r="AP69" s="80">
        <f t="shared" si="19"/>
        <v>0</v>
      </c>
      <c r="AQ69" s="80">
        <f t="shared" si="13"/>
        <v>0.25</v>
      </c>
      <c r="AR69" s="25"/>
      <c r="AS69" s="66">
        <f t="shared" si="20"/>
        <v>1</v>
      </c>
      <c r="AT69" s="50">
        <f>IFERROR((MATCH(#REF!, $BA$21:$BA$23, 0) - 1)*4, 0)</f>
        <v>0</v>
      </c>
      <c r="AU69" s="48">
        <f>IFERROR(#REF!/2 + IF(J69&lt;0.75, 0, 4), 0)</f>
        <v>0</v>
      </c>
      <c r="AV69" s="48" t="str" cm="1">
        <f t="array" ref="AV69">IF($AU69&gt;0, INDEX($BA$12:$BP$19, $AU69, $AT69+AV$11), "-")</f>
        <v>-</v>
      </c>
      <c r="AW69" s="48" t="str" cm="1">
        <f t="array" ref="AW69">IF($AU69&gt;0, INDEX($BA$12:$BP$19, $AU69, $AT69+AW$11), "-")</f>
        <v>-</v>
      </c>
      <c r="AX69" s="48" t="str" cm="1">
        <f t="array" ref="AX69">IF($AU69&gt;0, INDEX($BA$12:$BP$19, $AU69, $AT69+AX$11), "-")</f>
        <v>-</v>
      </c>
      <c r="AY69" s="48" t="str" cm="1">
        <f t="array" ref="AY69">IF($AU69&gt;0, INDEX($BA$12:$BP$19, $AU69, $AT69+AY$11), "-")</f>
        <v>-</v>
      </c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</row>
    <row r="70" spans="1:69" s="91" customFormat="1" x14ac:dyDescent="0.2">
      <c r="A70" s="33" cm="1">
        <f t="array" ref="A70">IFERROR(INDEX(Operation, IFERROR(MATCH(#REF!, Y!$B$40:$B$51, 0), IFERROR(MATCH(#REF!, Y!$C$40:$C$51, 0), MATCH(#REF!, Y!$D$40:$D$51, 0))), 4), 0)</f>
        <v>0</v>
      </c>
      <c r="B70" s="105">
        <v>59</v>
      </c>
      <c r="C70" s="7"/>
      <c r="D70" s="7"/>
      <c r="E70" s="30"/>
      <c r="F70" s="8" t="str">
        <f>IF(ISBLANK(E70), "", VLOOKUP(E70, Z!$A$2:$C$4127, 3, FALSE))</f>
        <v/>
      </c>
      <c r="G70" s="60"/>
      <c r="H70" s="124"/>
      <c r="I70" s="34"/>
      <c r="J70" s="40"/>
      <c r="K70" s="41"/>
      <c r="L70" s="40"/>
      <c r="M70" s="31">
        <f t="shared" si="7"/>
        <v>0</v>
      </c>
      <c r="N70" s="7"/>
      <c r="O70" s="7"/>
      <c r="P70" s="61"/>
      <c r="Q70" s="35"/>
      <c r="R70" s="40"/>
      <c r="S70" s="31">
        <f t="shared" si="8"/>
        <v>0</v>
      </c>
      <c r="T70" s="6"/>
      <c r="U70" s="7"/>
      <c r="V70" s="30"/>
      <c r="W70" s="8" t="str">
        <f>IF(ISBLANK(V70), "", VLOOKUP(V70, Z!$A$2:$C$4127, 3, FALSE))</f>
        <v/>
      </c>
      <c r="X70" s="36"/>
      <c r="Y70" s="87">
        <f t="shared" si="9"/>
        <v>0</v>
      </c>
      <c r="Z70" s="21"/>
      <c r="AA70" s="106">
        <f>IFERROR(120*50/#REF!, 0)</f>
        <v>0</v>
      </c>
      <c r="AB70" s="106">
        <f>IFERROR(VLOOKUP($G70, Y!$F$2:$I$10, 4, FALSE), 0)</f>
        <v>0</v>
      </c>
      <c r="AC70" s="107">
        <f>IFERROR(VLOOKUP($G70, Y!$F$2:$I$10, 4, FALSE) * SQRT(H70/3600)/(I70/#REF!)^0.75, 0)</f>
        <v>0</v>
      </c>
      <c r="AD70" s="108">
        <f>IFERROR((88.59*LN(AC70) + 13.46*LN(H70) - 11.48*LN(AC70)^2 -0.85*LN(H70)^2 - 0.38*LN(AC70)*LN(H70) - VLOOKUP(G70,Y!$F$2:$H$10, 2, FALSE) ) / 100, 0)</f>
        <v>0</v>
      </c>
      <c r="AE70" s="109">
        <f t="shared" si="14"/>
        <v>0</v>
      </c>
      <c r="AF70" s="109">
        <f t="shared" si="10"/>
        <v>0</v>
      </c>
      <c r="AG70" s="110">
        <f t="shared" si="15"/>
        <v>0</v>
      </c>
      <c r="AH70" s="111">
        <f t="shared" si="16"/>
        <v>0</v>
      </c>
      <c r="AI70" s="25"/>
      <c r="AJ70" s="108">
        <f>IFERROR(#REF!*#REF!^2 /(#REF!/AA70)^2 +#REF! *#REF! /(#REF!/AA70), 0)</f>
        <v>0</v>
      </c>
      <c r="AK70" s="112">
        <f t="shared" si="17"/>
        <v>0</v>
      </c>
      <c r="AL70" s="112">
        <f t="shared" si="11"/>
        <v>0</v>
      </c>
      <c r="AM70" s="110">
        <f t="shared" si="18"/>
        <v>0</v>
      </c>
      <c r="AN70" s="109">
        <f t="shared" si="12"/>
        <v>0</v>
      </c>
      <c r="AO70" s="25"/>
      <c r="AP70" s="80">
        <f t="shared" si="19"/>
        <v>0</v>
      </c>
      <c r="AQ70" s="80">
        <f t="shared" si="13"/>
        <v>0.25</v>
      </c>
      <c r="AR70" s="25"/>
      <c r="AS70" s="66">
        <f t="shared" si="20"/>
        <v>1</v>
      </c>
      <c r="AT70" s="50">
        <f>IFERROR((MATCH(#REF!, $BA$21:$BA$23, 0) - 1)*4, 0)</f>
        <v>0</v>
      </c>
      <c r="AU70" s="48">
        <f>IFERROR(#REF!/2 + IF(J70&lt;0.75, 0, 4), 0)</f>
        <v>0</v>
      </c>
      <c r="AV70" s="48" t="str" cm="1">
        <f t="array" ref="AV70">IF($AU70&gt;0, INDEX($BA$12:$BP$19, $AU70, $AT70+AV$11), "-")</f>
        <v>-</v>
      </c>
      <c r="AW70" s="48" t="str" cm="1">
        <f t="array" ref="AW70">IF($AU70&gt;0, INDEX($BA$12:$BP$19, $AU70, $AT70+AW$11), "-")</f>
        <v>-</v>
      </c>
      <c r="AX70" s="48" t="str" cm="1">
        <f t="array" ref="AX70">IF($AU70&gt;0, INDEX($BA$12:$BP$19, $AU70, $AT70+AX$11), "-")</f>
        <v>-</v>
      </c>
      <c r="AY70" s="48" t="str" cm="1">
        <f t="array" ref="AY70">IF($AU70&gt;0, INDEX($BA$12:$BP$19, $AU70, $AT70+AY$11), "-")</f>
        <v>-</v>
      </c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</row>
    <row r="71" spans="1:69" s="91" customFormat="1" x14ac:dyDescent="0.2">
      <c r="A71" s="33" cm="1">
        <f t="array" ref="A71">IFERROR(INDEX(Operation, IFERROR(MATCH(#REF!, Y!$B$40:$B$51, 0), IFERROR(MATCH(#REF!, Y!$C$40:$C$51, 0), MATCH(#REF!, Y!$D$40:$D$51, 0))), 4), 0)</f>
        <v>0</v>
      </c>
      <c r="B71" s="105">
        <v>60</v>
      </c>
      <c r="C71" s="7"/>
      <c r="D71" s="7"/>
      <c r="E71" s="30"/>
      <c r="F71" s="8" t="str">
        <f>IF(ISBLANK(E71), "", VLOOKUP(E71, Z!$A$2:$C$4127, 3, FALSE))</f>
        <v/>
      </c>
      <c r="G71" s="60"/>
      <c r="H71" s="124"/>
      <c r="I71" s="34"/>
      <c r="J71" s="40"/>
      <c r="K71" s="41"/>
      <c r="L71" s="40"/>
      <c r="M71" s="31">
        <f t="shared" si="7"/>
        <v>0</v>
      </c>
      <c r="N71" s="7"/>
      <c r="O71" s="7"/>
      <c r="P71" s="61"/>
      <c r="Q71" s="35"/>
      <c r="R71" s="40"/>
      <c r="S71" s="31">
        <f t="shared" si="8"/>
        <v>0</v>
      </c>
      <c r="T71" s="6"/>
      <c r="U71" s="7"/>
      <c r="V71" s="30"/>
      <c r="W71" s="8" t="str">
        <f>IF(ISBLANK(V71), "", VLOOKUP(V71, Z!$A$2:$C$4127, 3, FALSE))</f>
        <v/>
      </c>
      <c r="X71" s="36"/>
      <c r="Y71" s="87">
        <f t="shared" si="9"/>
        <v>0</v>
      </c>
      <c r="Z71" s="21"/>
      <c r="AA71" s="106">
        <f>IFERROR(120*50/#REF!, 0)</f>
        <v>0</v>
      </c>
      <c r="AB71" s="106">
        <f>IFERROR(VLOOKUP($G71, Y!$F$2:$I$10, 4, FALSE), 0)</f>
        <v>0</v>
      </c>
      <c r="AC71" s="107">
        <f>IFERROR(VLOOKUP($G71, Y!$F$2:$I$10, 4, FALSE) * SQRT(H71/3600)/(I71/#REF!)^0.75, 0)</f>
        <v>0</v>
      </c>
      <c r="AD71" s="108">
        <f>IFERROR((88.59*LN(AC71) + 13.46*LN(H71) - 11.48*LN(AC71)^2 -0.85*LN(H71)^2 - 0.38*LN(AC71)*LN(H71) - VLOOKUP(G71,Y!$F$2:$H$10, 2, FALSE) ) / 100, 0)</f>
        <v>0</v>
      </c>
      <c r="AE71" s="109">
        <f t="shared" si="14"/>
        <v>0</v>
      </c>
      <c r="AF71" s="109">
        <f t="shared" si="10"/>
        <v>0</v>
      </c>
      <c r="AG71" s="110">
        <f t="shared" si="15"/>
        <v>0</v>
      </c>
      <c r="AH71" s="111">
        <f t="shared" si="16"/>
        <v>0</v>
      </c>
      <c r="AI71" s="25"/>
      <c r="AJ71" s="108">
        <f>IFERROR(#REF!*#REF!^2 /(#REF!/AA71)^2 +#REF! *#REF! /(#REF!/AA71), 0)</f>
        <v>0</v>
      </c>
      <c r="AK71" s="112">
        <f t="shared" si="17"/>
        <v>0</v>
      </c>
      <c r="AL71" s="112">
        <f t="shared" si="11"/>
        <v>0</v>
      </c>
      <c r="AM71" s="110">
        <f t="shared" si="18"/>
        <v>0</v>
      </c>
      <c r="AN71" s="109">
        <f t="shared" si="12"/>
        <v>0</v>
      </c>
      <c r="AO71" s="25"/>
      <c r="AP71" s="80">
        <f t="shared" si="19"/>
        <v>0</v>
      </c>
      <c r="AQ71" s="80">
        <f t="shared" si="13"/>
        <v>0.25</v>
      </c>
      <c r="AR71" s="25"/>
      <c r="AS71" s="66">
        <f t="shared" si="20"/>
        <v>1</v>
      </c>
      <c r="AT71" s="50">
        <f>IFERROR((MATCH(#REF!, $BA$21:$BA$23, 0) - 1)*4, 0)</f>
        <v>0</v>
      </c>
      <c r="AU71" s="48">
        <f>IFERROR(#REF!/2 + IF(J71&lt;0.75, 0, 4), 0)</f>
        <v>0</v>
      </c>
      <c r="AV71" s="48" t="str" cm="1">
        <f t="array" ref="AV71">IF($AU71&gt;0, INDEX($BA$12:$BP$19, $AU71, $AT71+AV$11), "-")</f>
        <v>-</v>
      </c>
      <c r="AW71" s="48" t="str" cm="1">
        <f t="array" ref="AW71">IF($AU71&gt;0, INDEX($BA$12:$BP$19, $AU71, $AT71+AW$11), "-")</f>
        <v>-</v>
      </c>
      <c r="AX71" s="48" t="str" cm="1">
        <f t="array" ref="AX71">IF($AU71&gt;0, INDEX($BA$12:$BP$19, $AU71, $AT71+AX$11), "-")</f>
        <v>-</v>
      </c>
      <c r="AY71" s="48" t="str" cm="1">
        <f t="array" ref="AY71">IF($AU71&gt;0, INDEX($BA$12:$BP$19, $AU71, $AT71+AY$11), "-")</f>
        <v>-</v>
      </c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</row>
    <row r="72" spans="1:69" s="91" customFormat="1" x14ac:dyDescent="0.2">
      <c r="A72" s="33" cm="1">
        <f t="array" ref="A72">IFERROR(INDEX(Operation, IFERROR(MATCH(#REF!, Y!$B$40:$B$51, 0), IFERROR(MATCH(#REF!, Y!$C$40:$C$51, 0), MATCH(#REF!, Y!$D$40:$D$51, 0))), 4), 0)</f>
        <v>0</v>
      </c>
      <c r="B72" s="105">
        <v>61</v>
      </c>
      <c r="C72" s="7"/>
      <c r="D72" s="7"/>
      <c r="E72" s="30"/>
      <c r="F72" s="8" t="str">
        <f>IF(ISBLANK(E72), "", VLOOKUP(E72, Z!$A$2:$C$4127, 3, FALSE))</f>
        <v/>
      </c>
      <c r="G72" s="60"/>
      <c r="H72" s="124"/>
      <c r="I72" s="34"/>
      <c r="J72" s="40"/>
      <c r="K72" s="41"/>
      <c r="L72" s="40"/>
      <c r="M72" s="31">
        <f t="shared" si="7"/>
        <v>0</v>
      </c>
      <c r="N72" s="7"/>
      <c r="O72" s="7"/>
      <c r="P72" s="61"/>
      <c r="Q72" s="35"/>
      <c r="R72" s="40"/>
      <c r="S72" s="31">
        <f t="shared" si="8"/>
        <v>0</v>
      </c>
      <c r="T72" s="6"/>
      <c r="U72" s="7"/>
      <c r="V72" s="30"/>
      <c r="W72" s="8" t="str">
        <f>IF(ISBLANK(V72), "", VLOOKUP(V72, Z!$A$2:$C$4127, 3, FALSE))</f>
        <v/>
      </c>
      <c r="X72" s="36"/>
      <c r="Y72" s="87">
        <f t="shared" si="9"/>
        <v>0</v>
      </c>
      <c r="Z72" s="21"/>
      <c r="AA72" s="106">
        <f>IFERROR(120*50/#REF!, 0)</f>
        <v>0</v>
      </c>
      <c r="AB72" s="106">
        <f>IFERROR(VLOOKUP($G72, Y!$F$2:$I$10, 4, FALSE), 0)</f>
        <v>0</v>
      </c>
      <c r="AC72" s="107">
        <f>IFERROR(VLOOKUP($G72, Y!$F$2:$I$10, 4, FALSE) * SQRT(H72/3600)/(I72/#REF!)^0.75, 0)</f>
        <v>0</v>
      </c>
      <c r="AD72" s="108">
        <f>IFERROR((88.59*LN(AC72) + 13.46*LN(H72) - 11.48*LN(AC72)^2 -0.85*LN(H72)^2 - 0.38*LN(AC72)*LN(H72) - VLOOKUP(G72,Y!$F$2:$H$10, 2, FALSE) ) / 100, 0)</f>
        <v>0</v>
      </c>
      <c r="AE72" s="109">
        <f t="shared" si="14"/>
        <v>0</v>
      </c>
      <c r="AF72" s="109">
        <f t="shared" si="10"/>
        <v>0</v>
      </c>
      <c r="AG72" s="110">
        <f t="shared" si="15"/>
        <v>0</v>
      </c>
      <c r="AH72" s="111">
        <f t="shared" si="16"/>
        <v>0</v>
      </c>
      <c r="AI72" s="25"/>
      <c r="AJ72" s="108">
        <f>IFERROR(#REF!*#REF!^2 /(#REF!/AA72)^2 +#REF! *#REF! /(#REF!/AA72), 0)</f>
        <v>0</v>
      </c>
      <c r="AK72" s="112">
        <f t="shared" si="17"/>
        <v>0</v>
      </c>
      <c r="AL72" s="112">
        <f t="shared" si="11"/>
        <v>0</v>
      </c>
      <c r="AM72" s="110">
        <f t="shared" si="18"/>
        <v>0</v>
      </c>
      <c r="AN72" s="109">
        <f t="shared" si="12"/>
        <v>0</v>
      </c>
      <c r="AO72" s="25"/>
      <c r="AP72" s="80">
        <f t="shared" si="19"/>
        <v>0</v>
      </c>
      <c r="AQ72" s="80">
        <f t="shared" si="13"/>
        <v>0.25</v>
      </c>
      <c r="AR72" s="25"/>
      <c r="AS72" s="66">
        <f t="shared" si="20"/>
        <v>1</v>
      </c>
      <c r="AT72" s="50">
        <f>IFERROR((MATCH(#REF!, $BA$21:$BA$23, 0) - 1)*4, 0)</f>
        <v>0</v>
      </c>
      <c r="AU72" s="48">
        <f>IFERROR(#REF!/2 + IF(J72&lt;0.75, 0, 4), 0)</f>
        <v>0</v>
      </c>
      <c r="AV72" s="48" t="str" cm="1">
        <f t="array" ref="AV72">IF($AU72&gt;0, INDEX($BA$12:$BP$19, $AU72, $AT72+AV$11), "-")</f>
        <v>-</v>
      </c>
      <c r="AW72" s="48" t="str" cm="1">
        <f t="array" ref="AW72">IF($AU72&gt;0, INDEX($BA$12:$BP$19, $AU72, $AT72+AW$11), "-")</f>
        <v>-</v>
      </c>
      <c r="AX72" s="48" t="str" cm="1">
        <f t="array" ref="AX72">IF($AU72&gt;0, INDEX($BA$12:$BP$19, $AU72, $AT72+AX$11), "-")</f>
        <v>-</v>
      </c>
      <c r="AY72" s="48" t="str" cm="1">
        <f t="array" ref="AY72">IF($AU72&gt;0, INDEX($BA$12:$BP$19, $AU72, $AT72+AY$11), "-")</f>
        <v>-</v>
      </c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</row>
    <row r="73" spans="1:69" s="91" customFormat="1" x14ac:dyDescent="0.2">
      <c r="A73" s="33" cm="1">
        <f t="array" ref="A73">IFERROR(INDEX(Operation, IFERROR(MATCH(#REF!, Y!$B$40:$B$51, 0), IFERROR(MATCH(#REF!, Y!$C$40:$C$51, 0), MATCH(#REF!, Y!$D$40:$D$51, 0))), 4), 0)</f>
        <v>0</v>
      </c>
      <c r="B73" s="105">
        <v>62</v>
      </c>
      <c r="C73" s="7"/>
      <c r="D73" s="7"/>
      <c r="E73" s="30"/>
      <c r="F73" s="8" t="str">
        <f>IF(ISBLANK(E73), "", VLOOKUP(E73, Z!$A$2:$C$4127, 3, FALSE))</f>
        <v/>
      </c>
      <c r="G73" s="60"/>
      <c r="H73" s="124"/>
      <c r="I73" s="34"/>
      <c r="J73" s="40"/>
      <c r="K73" s="41"/>
      <c r="L73" s="40"/>
      <c r="M73" s="31">
        <f t="shared" si="7"/>
        <v>0</v>
      </c>
      <c r="N73" s="7"/>
      <c r="O73" s="7"/>
      <c r="P73" s="61"/>
      <c r="Q73" s="35"/>
      <c r="R73" s="40"/>
      <c r="S73" s="31">
        <f t="shared" si="8"/>
        <v>0</v>
      </c>
      <c r="T73" s="6"/>
      <c r="U73" s="7"/>
      <c r="V73" s="30"/>
      <c r="W73" s="8" t="str">
        <f>IF(ISBLANK(V73), "", VLOOKUP(V73, Z!$A$2:$C$4127, 3, FALSE))</f>
        <v/>
      </c>
      <c r="X73" s="36"/>
      <c r="Y73" s="87">
        <f t="shared" si="9"/>
        <v>0</v>
      </c>
      <c r="Z73" s="21"/>
      <c r="AA73" s="106">
        <f>IFERROR(120*50/#REF!, 0)</f>
        <v>0</v>
      </c>
      <c r="AB73" s="106">
        <f>IFERROR(VLOOKUP($G73, Y!$F$2:$I$10, 4, FALSE), 0)</f>
        <v>0</v>
      </c>
      <c r="AC73" s="107">
        <f>IFERROR(VLOOKUP($G73, Y!$F$2:$I$10, 4, FALSE) * SQRT(H73/3600)/(I73/#REF!)^0.75, 0)</f>
        <v>0</v>
      </c>
      <c r="AD73" s="108">
        <f>IFERROR((88.59*LN(AC73) + 13.46*LN(H73) - 11.48*LN(AC73)^2 -0.85*LN(H73)^2 - 0.38*LN(AC73)*LN(H73) - VLOOKUP(G73,Y!$F$2:$H$10, 2, FALSE) ) / 100, 0)</f>
        <v>0</v>
      </c>
      <c r="AE73" s="109">
        <f t="shared" si="14"/>
        <v>0</v>
      </c>
      <c r="AF73" s="109">
        <f t="shared" si="10"/>
        <v>0</v>
      </c>
      <c r="AG73" s="110">
        <f t="shared" si="15"/>
        <v>0</v>
      </c>
      <c r="AH73" s="111">
        <f t="shared" si="16"/>
        <v>0</v>
      </c>
      <c r="AI73" s="25"/>
      <c r="AJ73" s="108">
        <f>IFERROR(#REF!*#REF!^2 /(#REF!/AA73)^2 +#REF! *#REF! /(#REF!/AA73), 0)</f>
        <v>0</v>
      </c>
      <c r="AK73" s="112">
        <f t="shared" si="17"/>
        <v>0</v>
      </c>
      <c r="AL73" s="112">
        <f t="shared" si="11"/>
        <v>0</v>
      </c>
      <c r="AM73" s="110">
        <f t="shared" si="18"/>
        <v>0</v>
      </c>
      <c r="AN73" s="109">
        <f t="shared" si="12"/>
        <v>0</v>
      </c>
      <c r="AO73" s="25"/>
      <c r="AP73" s="80">
        <f t="shared" si="19"/>
        <v>0</v>
      </c>
      <c r="AQ73" s="80">
        <f t="shared" si="13"/>
        <v>0.25</v>
      </c>
      <c r="AR73" s="25"/>
      <c r="AS73" s="66">
        <f t="shared" si="20"/>
        <v>1</v>
      </c>
      <c r="AT73" s="50">
        <f>IFERROR((MATCH(#REF!, $BA$21:$BA$23, 0) - 1)*4, 0)</f>
        <v>0</v>
      </c>
      <c r="AU73" s="48">
        <f>IFERROR(#REF!/2 + IF(J73&lt;0.75, 0, 4), 0)</f>
        <v>0</v>
      </c>
      <c r="AV73" s="48" t="str" cm="1">
        <f t="array" ref="AV73">IF($AU73&gt;0, INDEX($BA$12:$BP$19, $AU73, $AT73+AV$11), "-")</f>
        <v>-</v>
      </c>
      <c r="AW73" s="48" t="str" cm="1">
        <f t="array" ref="AW73">IF($AU73&gt;0, INDEX($BA$12:$BP$19, $AU73, $AT73+AW$11), "-")</f>
        <v>-</v>
      </c>
      <c r="AX73" s="48" t="str" cm="1">
        <f t="array" ref="AX73">IF($AU73&gt;0, INDEX($BA$12:$BP$19, $AU73, $AT73+AX$11), "-")</f>
        <v>-</v>
      </c>
      <c r="AY73" s="48" t="str" cm="1">
        <f t="array" ref="AY73">IF($AU73&gt;0, INDEX($BA$12:$BP$19, $AU73, $AT73+AY$11), "-")</f>
        <v>-</v>
      </c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</row>
    <row r="74" spans="1:69" s="91" customFormat="1" x14ac:dyDescent="0.2">
      <c r="A74" s="33" cm="1">
        <f t="array" ref="A74">IFERROR(INDEX(Operation, IFERROR(MATCH(#REF!, Y!$B$40:$B$51, 0), IFERROR(MATCH(#REF!, Y!$C$40:$C$51, 0), MATCH(#REF!, Y!$D$40:$D$51, 0))), 4), 0)</f>
        <v>0</v>
      </c>
      <c r="B74" s="105">
        <v>63</v>
      </c>
      <c r="C74" s="7"/>
      <c r="D74" s="7"/>
      <c r="E74" s="30"/>
      <c r="F74" s="8" t="str">
        <f>IF(ISBLANK(E74), "", VLOOKUP(E74, Z!$A$2:$C$4127, 3, FALSE))</f>
        <v/>
      </c>
      <c r="G74" s="60"/>
      <c r="H74" s="124"/>
      <c r="I74" s="34"/>
      <c r="J74" s="40"/>
      <c r="K74" s="41"/>
      <c r="L74" s="40"/>
      <c r="M74" s="31">
        <f t="shared" si="7"/>
        <v>0</v>
      </c>
      <c r="N74" s="7"/>
      <c r="O74" s="7"/>
      <c r="P74" s="61"/>
      <c r="Q74" s="35"/>
      <c r="R74" s="40"/>
      <c r="S74" s="31">
        <f t="shared" si="8"/>
        <v>0</v>
      </c>
      <c r="T74" s="6"/>
      <c r="U74" s="7"/>
      <c r="V74" s="30"/>
      <c r="W74" s="8" t="str">
        <f>IF(ISBLANK(V74), "", VLOOKUP(V74, Z!$A$2:$C$4127, 3, FALSE))</f>
        <v/>
      </c>
      <c r="X74" s="36"/>
      <c r="Y74" s="87">
        <f t="shared" si="9"/>
        <v>0</v>
      </c>
      <c r="Z74" s="21"/>
      <c r="AA74" s="106">
        <f>IFERROR(120*50/#REF!, 0)</f>
        <v>0</v>
      </c>
      <c r="AB74" s="106">
        <f>IFERROR(VLOOKUP($G74, Y!$F$2:$I$10, 4, FALSE), 0)</f>
        <v>0</v>
      </c>
      <c r="AC74" s="107">
        <f>IFERROR(VLOOKUP($G74, Y!$F$2:$I$10, 4, FALSE) * SQRT(H74/3600)/(I74/#REF!)^0.75, 0)</f>
        <v>0</v>
      </c>
      <c r="AD74" s="108">
        <f>IFERROR((88.59*LN(AC74) + 13.46*LN(H74) - 11.48*LN(AC74)^2 -0.85*LN(H74)^2 - 0.38*LN(AC74)*LN(H74) - VLOOKUP(G74,Y!$F$2:$H$10, 2, FALSE) ) / 100, 0)</f>
        <v>0</v>
      </c>
      <c r="AE74" s="109">
        <f t="shared" si="14"/>
        <v>0</v>
      </c>
      <c r="AF74" s="109">
        <f t="shared" si="10"/>
        <v>0</v>
      </c>
      <c r="AG74" s="110">
        <f t="shared" si="15"/>
        <v>0</v>
      </c>
      <c r="AH74" s="111">
        <f t="shared" si="16"/>
        <v>0</v>
      </c>
      <c r="AI74" s="25"/>
      <c r="AJ74" s="108">
        <f>IFERROR(#REF!*#REF!^2 /(#REF!/AA74)^2 +#REF! *#REF! /(#REF!/AA74), 0)</f>
        <v>0</v>
      </c>
      <c r="AK74" s="112">
        <f t="shared" si="17"/>
        <v>0</v>
      </c>
      <c r="AL74" s="112">
        <f t="shared" si="11"/>
        <v>0</v>
      </c>
      <c r="AM74" s="110">
        <f t="shared" si="18"/>
        <v>0</v>
      </c>
      <c r="AN74" s="109">
        <f t="shared" si="12"/>
        <v>0</v>
      </c>
      <c r="AO74" s="25"/>
      <c r="AP74" s="80">
        <f t="shared" si="19"/>
        <v>0</v>
      </c>
      <c r="AQ74" s="80">
        <f t="shared" si="13"/>
        <v>0.25</v>
      </c>
      <c r="AR74" s="25"/>
      <c r="AS74" s="66">
        <f t="shared" si="20"/>
        <v>1</v>
      </c>
      <c r="AT74" s="50">
        <f>IFERROR((MATCH(#REF!, $BA$21:$BA$23, 0) - 1)*4, 0)</f>
        <v>0</v>
      </c>
      <c r="AU74" s="48">
        <f>IFERROR(#REF!/2 + IF(J74&lt;0.75, 0, 4), 0)</f>
        <v>0</v>
      </c>
      <c r="AV74" s="48" t="str" cm="1">
        <f t="array" ref="AV74">IF($AU74&gt;0, INDEX($BA$12:$BP$19, $AU74, $AT74+AV$11), "-")</f>
        <v>-</v>
      </c>
      <c r="AW74" s="48" t="str" cm="1">
        <f t="array" ref="AW74">IF($AU74&gt;0, INDEX($BA$12:$BP$19, $AU74, $AT74+AW$11), "-")</f>
        <v>-</v>
      </c>
      <c r="AX74" s="48" t="str" cm="1">
        <f t="array" ref="AX74">IF($AU74&gt;0, INDEX($BA$12:$BP$19, $AU74, $AT74+AX$11), "-")</f>
        <v>-</v>
      </c>
      <c r="AY74" s="48" t="str" cm="1">
        <f t="array" ref="AY74">IF($AU74&gt;0, INDEX($BA$12:$BP$19, $AU74, $AT74+AY$11), "-")</f>
        <v>-</v>
      </c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</row>
    <row r="75" spans="1:69" s="91" customFormat="1" x14ac:dyDescent="0.2">
      <c r="A75" s="33" cm="1">
        <f t="array" ref="A75">IFERROR(INDEX(Operation, IFERROR(MATCH(#REF!, Y!$B$40:$B$51, 0), IFERROR(MATCH(#REF!, Y!$C$40:$C$51, 0), MATCH(#REF!, Y!$D$40:$D$51, 0))), 4), 0)</f>
        <v>0</v>
      </c>
      <c r="B75" s="105">
        <v>64</v>
      </c>
      <c r="C75" s="7"/>
      <c r="D75" s="7"/>
      <c r="E75" s="30"/>
      <c r="F75" s="8" t="str">
        <f>IF(ISBLANK(E75), "", VLOOKUP(E75, Z!$A$2:$C$4127, 3, FALSE))</f>
        <v/>
      </c>
      <c r="G75" s="60"/>
      <c r="H75" s="124"/>
      <c r="I75" s="34"/>
      <c r="J75" s="40"/>
      <c r="K75" s="41"/>
      <c r="L75" s="40"/>
      <c r="M75" s="31">
        <f t="shared" si="7"/>
        <v>0</v>
      </c>
      <c r="N75" s="7"/>
      <c r="O75" s="7"/>
      <c r="P75" s="61"/>
      <c r="Q75" s="35"/>
      <c r="R75" s="40"/>
      <c r="S75" s="31">
        <f t="shared" si="8"/>
        <v>0</v>
      </c>
      <c r="T75" s="6"/>
      <c r="U75" s="7"/>
      <c r="V75" s="30"/>
      <c r="W75" s="8" t="str">
        <f>IF(ISBLANK(V75), "", VLOOKUP(V75, Z!$A$2:$C$4127, 3, FALSE))</f>
        <v/>
      </c>
      <c r="X75" s="36"/>
      <c r="Y75" s="87">
        <f t="shared" si="9"/>
        <v>0</v>
      </c>
      <c r="Z75" s="21"/>
      <c r="AA75" s="106">
        <f>IFERROR(120*50/#REF!, 0)</f>
        <v>0</v>
      </c>
      <c r="AB75" s="106">
        <f>IFERROR(VLOOKUP($G75, Y!$F$2:$I$10, 4, FALSE), 0)</f>
        <v>0</v>
      </c>
      <c r="AC75" s="107">
        <f>IFERROR(VLOOKUP($G75, Y!$F$2:$I$10, 4, FALSE) * SQRT(H75/3600)/(I75/#REF!)^0.75, 0)</f>
        <v>0</v>
      </c>
      <c r="AD75" s="108">
        <f>IFERROR((88.59*LN(AC75) + 13.46*LN(H75) - 11.48*LN(AC75)^2 -0.85*LN(H75)^2 - 0.38*LN(AC75)*LN(H75) - VLOOKUP(G75,Y!$F$2:$H$10, 2, FALSE) ) / 100, 0)</f>
        <v>0</v>
      </c>
      <c r="AE75" s="109">
        <f t="shared" si="14"/>
        <v>0</v>
      </c>
      <c r="AF75" s="109">
        <f t="shared" si="10"/>
        <v>0</v>
      </c>
      <c r="AG75" s="110">
        <f t="shared" si="15"/>
        <v>0</v>
      </c>
      <c r="AH75" s="111">
        <f t="shared" si="16"/>
        <v>0</v>
      </c>
      <c r="AI75" s="25"/>
      <c r="AJ75" s="108">
        <f>IFERROR(#REF!*#REF!^2 /(#REF!/AA75)^2 +#REF! *#REF! /(#REF!/AA75), 0)</f>
        <v>0</v>
      </c>
      <c r="AK75" s="112">
        <f t="shared" si="17"/>
        <v>0</v>
      </c>
      <c r="AL75" s="112">
        <f t="shared" si="11"/>
        <v>0</v>
      </c>
      <c r="AM75" s="110">
        <f t="shared" si="18"/>
        <v>0</v>
      </c>
      <c r="AN75" s="109">
        <f t="shared" si="12"/>
        <v>0</v>
      </c>
      <c r="AO75" s="25"/>
      <c r="AP75" s="80">
        <f t="shared" si="19"/>
        <v>0</v>
      </c>
      <c r="AQ75" s="80">
        <f t="shared" si="13"/>
        <v>0.25</v>
      </c>
      <c r="AR75" s="25"/>
      <c r="AS75" s="66">
        <f t="shared" si="20"/>
        <v>1</v>
      </c>
      <c r="AT75" s="50">
        <f>IFERROR((MATCH(#REF!, $BA$21:$BA$23, 0) - 1)*4, 0)</f>
        <v>0</v>
      </c>
      <c r="AU75" s="48">
        <f>IFERROR(#REF!/2 + IF(J75&lt;0.75, 0, 4), 0)</f>
        <v>0</v>
      </c>
      <c r="AV75" s="48" t="str" cm="1">
        <f t="array" ref="AV75">IF($AU75&gt;0, INDEX($BA$12:$BP$19, $AU75, $AT75+AV$11), "-")</f>
        <v>-</v>
      </c>
      <c r="AW75" s="48" t="str" cm="1">
        <f t="array" ref="AW75">IF($AU75&gt;0, INDEX($BA$12:$BP$19, $AU75, $AT75+AW$11), "-")</f>
        <v>-</v>
      </c>
      <c r="AX75" s="48" t="str" cm="1">
        <f t="array" ref="AX75">IF($AU75&gt;0, INDEX($BA$12:$BP$19, $AU75, $AT75+AX$11), "-")</f>
        <v>-</v>
      </c>
      <c r="AY75" s="48" t="str" cm="1">
        <f t="array" ref="AY75">IF($AU75&gt;0, INDEX($BA$12:$BP$19, $AU75, $AT75+AY$11), "-")</f>
        <v>-</v>
      </c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</row>
    <row r="76" spans="1:69" s="91" customFormat="1" x14ac:dyDescent="0.2">
      <c r="A76" s="33" cm="1">
        <f t="array" ref="A76">IFERROR(INDEX(Operation, IFERROR(MATCH(#REF!, Y!$B$40:$B$51, 0), IFERROR(MATCH(#REF!, Y!$C$40:$C$51, 0), MATCH(#REF!, Y!$D$40:$D$51, 0))), 4), 0)</f>
        <v>0</v>
      </c>
      <c r="B76" s="105">
        <v>65</v>
      </c>
      <c r="C76" s="7"/>
      <c r="D76" s="7"/>
      <c r="E76" s="30"/>
      <c r="F76" s="8" t="str">
        <f>IF(ISBLANK(E76), "", VLOOKUP(E76, Z!$A$2:$C$4127, 3, FALSE))</f>
        <v/>
      </c>
      <c r="G76" s="60"/>
      <c r="H76" s="124"/>
      <c r="I76" s="34"/>
      <c r="J76" s="40"/>
      <c r="K76" s="41"/>
      <c r="L76" s="40"/>
      <c r="M76" s="31">
        <f t="shared" si="7"/>
        <v>0</v>
      </c>
      <c r="N76" s="7"/>
      <c r="O76" s="7"/>
      <c r="P76" s="61"/>
      <c r="Q76" s="35"/>
      <c r="R76" s="40"/>
      <c r="S76" s="31">
        <f t="shared" si="8"/>
        <v>0</v>
      </c>
      <c r="T76" s="6"/>
      <c r="U76" s="7"/>
      <c r="V76" s="30"/>
      <c r="W76" s="8" t="str">
        <f>IF(ISBLANK(V76), "", VLOOKUP(V76, Z!$A$2:$C$4127, 3, FALSE))</f>
        <v/>
      </c>
      <c r="X76" s="36"/>
      <c r="Y76" s="87">
        <f t="shared" si="9"/>
        <v>0</v>
      </c>
      <c r="Z76" s="21"/>
      <c r="AA76" s="106">
        <f>IFERROR(120*50/#REF!, 0)</f>
        <v>0</v>
      </c>
      <c r="AB76" s="106">
        <f>IFERROR(VLOOKUP($G76, Y!$F$2:$I$10, 4, FALSE), 0)</f>
        <v>0</v>
      </c>
      <c r="AC76" s="107">
        <f>IFERROR(VLOOKUP($G76, Y!$F$2:$I$10, 4, FALSE) * SQRT(H76/3600)/(I76/#REF!)^0.75, 0)</f>
        <v>0</v>
      </c>
      <c r="AD76" s="108">
        <f>IFERROR((88.59*LN(AC76) + 13.46*LN(H76) - 11.48*LN(AC76)^2 -0.85*LN(H76)^2 - 0.38*LN(AC76)*LN(H76) - VLOOKUP(G76,Y!$F$2:$H$10, 2, FALSE) ) / 100, 0)</f>
        <v>0</v>
      </c>
      <c r="AE76" s="109">
        <f t="shared" ref="AE76:AE111" si="21">IFERROR(H76*I76*9.81/3600, 0)</f>
        <v>0</v>
      </c>
      <c r="AF76" s="109">
        <f t="shared" si="10"/>
        <v>0</v>
      </c>
      <c r="AG76" s="110">
        <f t="shared" ref="AG76:AG107" si="22">IFERROR(AF76/J76, 0)</f>
        <v>0</v>
      </c>
      <c r="AH76" s="111">
        <f t="shared" ref="AH76:AH111" si="23">AF76/AS76</f>
        <v>0</v>
      </c>
      <c r="AI76" s="25"/>
      <c r="AJ76" s="108">
        <f>IFERROR(#REF!*#REF!^2 /(#REF!/AA76)^2 +#REF! *#REF! /(#REF!/AA76), 0)</f>
        <v>0</v>
      </c>
      <c r="AK76" s="112">
        <f t="shared" ref="AK76:AK111" si="24">P76*Q76*9.81/3600</f>
        <v>0</v>
      </c>
      <c r="AL76" s="112">
        <f t="shared" si="11"/>
        <v>0</v>
      </c>
      <c r="AM76" s="110">
        <f t="shared" ref="AM76:AM107" si="25">IFERROR(AL76/J76, 0)</f>
        <v>0</v>
      </c>
      <c r="AN76" s="109">
        <f t="shared" si="12"/>
        <v>0</v>
      </c>
      <c r="AO76" s="25"/>
      <c r="AP76" s="80">
        <f t="shared" ref="AP76:AP111" si="26">IFERROR((79+22*(1-1/(LOG10(40*J76))))/100, 0)</f>
        <v>0</v>
      </c>
      <c r="AQ76" s="80">
        <f t="shared" si="13"/>
        <v>0.25</v>
      </c>
      <c r="AR76" s="25"/>
      <c r="AS76" s="66">
        <f t="shared" ref="AS76:AS111" si="27">IFERROR((AV76*LOG(J76)^3 + AW76*LOG(J76)^2 + AX76*LOG(J76) + AY76) / 100, 1)</f>
        <v>1</v>
      </c>
      <c r="AT76" s="50">
        <f>IFERROR((MATCH(#REF!, $BA$21:$BA$23, 0) - 1)*4, 0)</f>
        <v>0</v>
      </c>
      <c r="AU76" s="48">
        <f>IFERROR(#REF!/2 + IF(J76&lt;0.75, 0, 4), 0)</f>
        <v>0</v>
      </c>
      <c r="AV76" s="48" t="str" cm="1">
        <f t="array" ref="AV76">IF($AU76&gt;0, INDEX($BA$12:$BP$19, $AU76, $AT76+AV$11), "-")</f>
        <v>-</v>
      </c>
      <c r="AW76" s="48" t="str" cm="1">
        <f t="array" ref="AW76">IF($AU76&gt;0, INDEX($BA$12:$BP$19, $AU76, $AT76+AW$11), "-")</f>
        <v>-</v>
      </c>
      <c r="AX76" s="48" t="str" cm="1">
        <f t="array" ref="AX76">IF($AU76&gt;0, INDEX($BA$12:$BP$19, $AU76, $AT76+AX$11), "-")</f>
        <v>-</v>
      </c>
      <c r="AY76" s="48" t="str" cm="1">
        <f t="array" ref="AY76">IF($AU76&gt;0, INDEX($BA$12:$BP$19, $AU76, $AT76+AY$11), "-")</f>
        <v>-</v>
      </c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</row>
    <row r="77" spans="1:69" s="91" customFormat="1" x14ac:dyDescent="0.2">
      <c r="A77" s="33" cm="1">
        <f t="array" ref="A77">IFERROR(INDEX(Operation, IFERROR(MATCH(#REF!, Y!$B$40:$B$51, 0), IFERROR(MATCH(#REF!, Y!$C$40:$C$51, 0), MATCH(#REF!, Y!$D$40:$D$51, 0))), 4), 0)</f>
        <v>0</v>
      </c>
      <c r="B77" s="105">
        <v>66</v>
      </c>
      <c r="C77" s="7"/>
      <c r="D77" s="7"/>
      <c r="E77" s="30"/>
      <c r="F77" s="8" t="str">
        <f>IF(ISBLANK(E77), "", VLOOKUP(E77, Z!$A$2:$C$4127, 3, FALSE))</f>
        <v/>
      </c>
      <c r="G77" s="60"/>
      <c r="H77" s="124"/>
      <c r="I77" s="34"/>
      <c r="J77" s="40"/>
      <c r="K77" s="41"/>
      <c r="L77" s="40"/>
      <c r="M77" s="31">
        <f t="shared" ref="M77:M111" si="28">K77*L77</f>
        <v>0</v>
      </c>
      <c r="N77" s="7"/>
      <c r="O77" s="7"/>
      <c r="P77" s="61"/>
      <c r="Q77" s="35"/>
      <c r="R77" s="40"/>
      <c r="S77" s="31">
        <f t="shared" ref="S77:S111" si="29">K77*R77</f>
        <v>0</v>
      </c>
      <c r="T77" s="6"/>
      <c r="U77" s="7"/>
      <c r="V77" s="30"/>
      <c r="W77" s="8" t="str">
        <f>IF(ISBLANK(V77), "", VLOOKUP(V77, Z!$A$2:$C$4127, 3, FALSE))</f>
        <v/>
      </c>
      <c r="X77" s="36"/>
      <c r="Y77" s="87">
        <f t="shared" ref="Y77:Y111" si="30">IF(J77&lt;20, 15, 25)*0.75*(M77-S77)/1000</f>
        <v>0</v>
      </c>
      <c r="Z77" s="21"/>
      <c r="AA77" s="106">
        <f>IFERROR(120*50/#REF!, 0)</f>
        <v>0</v>
      </c>
      <c r="AB77" s="106">
        <f>IFERROR(VLOOKUP($G77, Y!$F$2:$I$10, 4, FALSE), 0)</f>
        <v>0</v>
      </c>
      <c r="AC77" s="107">
        <f>IFERROR(VLOOKUP($G77, Y!$F$2:$I$10, 4, FALSE) * SQRT(H77/3600)/(I77/#REF!)^0.75, 0)</f>
        <v>0</v>
      </c>
      <c r="AD77" s="108">
        <f>IFERROR((88.59*LN(AC77) + 13.46*LN(H77) - 11.48*LN(AC77)^2 -0.85*LN(H77)^2 - 0.38*LN(AC77)*LN(H77) - VLOOKUP(G77,Y!$F$2:$H$10, 2, FALSE) ) / 100, 0)</f>
        <v>0</v>
      </c>
      <c r="AE77" s="109">
        <f t="shared" si="21"/>
        <v>0</v>
      </c>
      <c r="AF77" s="109">
        <f t="shared" ref="AF77:AF111" si="31">IFERROR(AE77/AD77, 0)</f>
        <v>0</v>
      </c>
      <c r="AG77" s="110">
        <f t="shared" si="22"/>
        <v>0</v>
      </c>
      <c r="AH77" s="111">
        <f t="shared" si="23"/>
        <v>0</v>
      </c>
      <c r="AI77" s="25"/>
      <c r="AJ77" s="108">
        <f>IFERROR(#REF!*#REF!^2 /(#REF!/AA77)^2 +#REF! *#REF! /(#REF!/AA77), 0)</f>
        <v>0</v>
      </c>
      <c r="AK77" s="112">
        <f t="shared" si="24"/>
        <v>0</v>
      </c>
      <c r="AL77" s="112">
        <f t="shared" ref="AL77:AL111" si="32">IFERROR(AK77/AJ77, 0)</f>
        <v>0</v>
      </c>
      <c r="AM77" s="110">
        <f t="shared" si="25"/>
        <v>0</v>
      </c>
      <c r="AN77" s="109">
        <f t="shared" ref="AN77:AN111" si="33">IFERROR(AL77/AS77/AQ77, 0)</f>
        <v>0</v>
      </c>
      <c r="AO77" s="25"/>
      <c r="AP77" s="80">
        <f t="shared" si="26"/>
        <v>0</v>
      </c>
      <c r="AQ77" s="80">
        <f t="shared" ref="AQ77:AQ111" si="34">1 - 0.75*(1-AP77)</f>
        <v>0.25</v>
      </c>
      <c r="AR77" s="25"/>
      <c r="AS77" s="66">
        <f t="shared" si="27"/>
        <v>1</v>
      </c>
      <c r="AT77" s="50">
        <f>IFERROR((MATCH(#REF!, $BA$21:$BA$23, 0) - 1)*4, 0)</f>
        <v>0</v>
      </c>
      <c r="AU77" s="48">
        <f>IFERROR(#REF!/2 + IF(J77&lt;0.75, 0, 4), 0)</f>
        <v>0</v>
      </c>
      <c r="AV77" s="48" t="str" cm="1">
        <f t="array" ref="AV77">IF($AU77&gt;0, INDEX($BA$12:$BP$19, $AU77, $AT77+AV$11), "-")</f>
        <v>-</v>
      </c>
      <c r="AW77" s="48" t="str" cm="1">
        <f t="array" ref="AW77">IF($AU77&gt;0, INDEX($BA$12:$BP$19, $AU77, $AT77+AW$11), "-")</f>
        <v>-</v>
      </c>
      <c r="AX77" s="48" t="str" cm="1">
        <f t="array" ref="AX77">IF($AU77&gt;0, INDEX($BA$12:$BP$19, $AU77, $AT77+AX$11), "-")</f>
        <v>-</v>
      </c>
      <c r="AY77" s="48" t="str" cm="1">
        <f t="array" ref="AY77">IF($AU77&gt;0, INDEX($BA$12:$BP$19, $AU77, $AT77+AY$11), "-")</f>
        <v>-</v>
      </c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</row>
    <row r="78" spans="1:69" s="91" customFormat="1" x14ac:dyDescent="0.2">
      <c r="A78" s="33" cm="1">
        <f t="array" ref="A78">IFERROR(INDEX(Operation, IFERROR(MATCH(#REF!, Y!$B$40:$B$51, 0), IFERROR(MATCH(#REF!, Y!$C$40:$C$51, 0), MATCH(#REF!, Y!$D$40:$D$51, 0))), 4), 0)</f>
        <v>0</v>
      </c>
      <c r="B78" s="105">
        <v>67</v>
      </c>
      <c r="C78" s="7"/>
      <c r="D78" s="7"/>
      <c r="E78" s="30"/>
      <c r="F78" s="8" t="str">
        <f>IF(ISBLANK(E78), "", VLOOKUP(E78, Z!$A$2:$C$4127, 3, FALSE))</f>
        <v/>
      </c>
      <c r="G78" s="60"/>
      <c r="H78" s="124"/>
      <c r="I78" s="34"/>
      <c r="J78" s="40"/>
      <c r="K78" s="41"/>
      <c r="L78" s="40"/>
      <c r="M78" s="31">
        <f t="shared" si="28"/>
        <v>0</v>
      </c>
      <c r="N78" s="7"/>
      <c r="O78" s="7"/>
      <c r="P78" s="61"/>
      <c r="Q78" s="35"/>
      <c r="R78" s="40"/>
      <c r="S78" s="31">
        <f t="shared" si="29"/>
        <v>0</v>
      </c>
      <c r="T78" s="6"/>
      <c r="U78" s="7"/>
      <c r="V78" s="30"/>
      <c r="W78" s="8" t="str">
        <f>IF(ISBLANK(V78), "", VLOOKUP(V78, Z!$A$2:$C$4127, 3, FALSE))</f>
        <v/>
      </c>
      <c r="X78" s="36"/>
      <c r="Y78" s="87">
        <f t="shared" si="30"/>
        <v>0</v>
      </c>
      <c r="Z78" s="21"/>
      <c r="AA78" s="106">
        <f>IFERROR(120*50/#REF!, 0)</f>
        <v>0</v>
      </c>
      <c r="AB78" s="106">
        <f>IFERROR(VLOOKUP($G78, Y!$F$2:$I$10, 4, FALSE), 0)</f>
        <v>0</v>
      </c>
      <c r="AC78" s="107">
        <f>IFERROR(VLOOKUP($G78, Y!$F$2:$I$10, 4, FALSE) * SQRT(H78/3600)/(I78/#REF!)^0.75, 0)</f>
        <v>0</v>
      </c>
      <c r="AD78" s="108">
        <f>IFERROR((88.59*LN(AC78) + 13.46*LN(H78) - 11.48*LN(AC78)^2 -0.85*LN(H78)^2 - 0.38*LN(AC78)*LN(H78) - VLOOKUP(G78,Y!$F$2:$H$10, 2, FALSE) ) / 100, 0)</f>
        <v>0</v>
      </c>
      <c r="AE78" s="109">
        <f t="shared" si="21"/>
        <v>0</v>
      </c>
      <c r="AF78" s="109">
        <f t="shared" si="31"/>
        <v>0</v>
      </c>
      <c r="AG78" s="110">
        <f t="shared" si="22"/>
        <v>0</v>
      </c>
      <c r="AH78" s="111">
        <f t="shared" si="23"/>
        <v>0</v>
      </c>
      <c r="AI78" s="25"/>
      <c r="AJ78" s="108">
        <f>IFERROR(#REF!*#REF!^2 /(#REF!/AA78)^2 +#REF! *#REF! /(#REF!/AA78), 0)</f>
        <v>0</v>
      </c>
      <c r="AK78" s="112">
        <f t="shared" si="24"/>
        <v>0</v>
      </c>
      <c r="AL78" s="112">
        <f t="shared" si="32"/>
        <v>0</v>
      </c>
      <c r="AM78" s="110">
        <f t="shared" si="25"/>
        <v>0</v>
      </c>
      <c r="AN78" s="109">
        <f t="shared" si="33"/>
        <v>0</v>
      </c>
      <c r="AO78" s="25"/>
      <c r="AP78" s="80">
        <f t="shared" si="26"/>
        <v>0</v>
      </c>
      <c r="AQ78" s="80">
        <f t="shared" si="34"/>
        <v>0.25</v>
      </c>
      <c r="AR78" s="25"/>
      <c r="AS78" s="66">
        <f t="shared" si="27"/>
        <v>1</v>
      </c>
      <c r="AT78" s="50">
        <f>IFERROR((MATCH(#REF!, $BA$21:$BA$23, 0) - 1)*4, 0)</f>
        <v>0</v>
      </c>
      <c r="AU78" s="48">
        <f>IFERROR(#REF!/2 + IF(J78&lt;0.75, 0, 4), 0)</f>
        <v>0</v>
      </c>
      <c r="AV78" s="48" t="str" cm="1">
        <f t="array" ref="AV78">IF($AU78&gt;0, INDEX($BA$12:$BP$19, $AU78, $AT78+AV$11), "-")</f>
        <v>-</v>
      </c>
      <c r="AW78" s="48" t="str" cm="1">
        <f t="array" ref="AW78">IF($AU78&gt;0, INDEX($BA$12:$BP$19, $AU78, $AT78+AW$11), "-")</f>
        <v>-</v>
      </c>
      <c r="AX78" s="48" t="str" cm="1">
        <f t="array" ref="AX78">IF($AU78&gt;0, INDEX($BA$12:$BP$19, $AU78, $AT78+AX$11), "-")</f>
        <v>-</v>
      </c>
      <c r="AY78" s="48" t="str" cm="1">
        <f t="array" ref="AY78">IF($AU78&gt;0, INDEX($BA$12:$BP$19, $AU78, $AT78+AY$11), "-")</f>
        <v>-</v>
      </c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</row>
    <row r="79" spans="1:69" s="91" customFormat="1" x14ac:dyDescent="0.2">
      <c r="A79" s="33" cm="1">
        <f t="array" ref="A79">IFERROR(INDEX(Operation, IFERROR(MATCH(#REF!, Y!$B$40:$B$51, 0), IFERROR(MATCH(#REF!, Y!$C$40:$C$51, 0), MATCH(#REF!, Y!$D$40:$D$51, 0))), 4), 0)</f>
        <v>0</v>
      </c>
      <c r="B79" s="105">
        <v>68</v>
      </c>
      <c r="C79" s="7"/>
      <c r="D79" s="7"/>
      <c r="E79" s="30"/>
      <c r="F79" s="8" t="str">
        <f>IF(ISBLANK(E79), "", VLOOKUP(E79, Z!$A$2:$C$4127, 3, FALSE))</f>
        <v/>
      </c>
      <c r="G79" s="60"/>
      <c r="H79" s="124"/>
      <c r="I79" s="34"/>
      <c r="J79" s="40"/>
      <c r="K79" s="41"/>
      <c r="L79" s="40"/>
      <c r="M79" s="31">
        <f t="shared" si="28"/>
        <v>0</v>
      </c>
      <c r="N79" s="7"/>
      <c r="O79" s="7"/>
      <c r="P79" s="61"/>
      <c r="Q79" s="35"/>
      <c r="R79" s="40"/>
      <c r="S79" s="31">
        <f t="shared" si="29"/>
        <v>0</v>
      </c>
      <c r="T79" s="6"/>
      <c r="U79" s="7"/>
      <c r="V79" s="30"/>
      <c r="W79" s="8" t="str">
        <f>IF(ISBLANK(V79), "", VLOOKUP(V79, Z!$A$2:$C$4127, 3, FALSE))</f>
        <v/>
      </c>
      <c r="X79" s="36"/>
      <c r="Y79" s="87">
        <f t="shared" si="30"/>
        <v>0</v>
      </c>
      <c r="Z79" s="21"/>
      <c r="AA79" s="106">
        <f>IFERROR(120*50/#REF!, 0)</f>
        <v>0</v>
      </c>
      <c r="AB79" s="106">
        <f>IFERROR(VLOOKUP($G79, Y!$F$2:$I$10, 4, FALSE), 0)</f>
        <v>0</v>
      </c>
      <c r="AC79" s="107">
        <f>IFERROR(VLOOKUP($G79, Y!$F$2:$I$10, 4, FALSE) * SQRT(H79/3600)/(I79/#REF!)^0.75, 0)</f>
        <v>0</v>
      </c>
      <c r="AD79" s="108">
        <f>IFERROR((88.59*LN(AC79) + 13.46*LN(H79) - 11.48*LN(AC79)^2 -0.85*LN(H79)^2 - 0.38*LN(AC79)*LN(H79) - VLOOKUP(G79,Y!$F$2:$H$10, 2, FALSE) ) / 100, 0)</f>
        <v>0</v>
      </c>
      <c r="AE79" s="109">
        <f t="shared" si="21"/>
        <v>0</v>
      </c>
      <c r="AF79" s="109">
        <f t="shared" si="31"/>
        <v>0</v>
      </c>
      <c r="AG79" s="110">
        <f t="shared" si="22"/>
        <v>0</v>
      </c>
      <c r="AH79" s="111">
        <f t="shared" si="23"/>
        <v>0</v>
      </c>
      <c r="AI79" s="25"/>
      <c r="AJ79" s="108">
        <f>IFERROR(#REF!*#REF!^2 /(#REF!/AA79)^2 +#REF! *#REF! /(#REF!/AA79), 0)</f>
        <v>0</v>
      </c>
      <c r="AK79" s="112">
        <f t="shared" si="24"/>
        <v>0</v>
      </c>
      <c r="AL79" s="112">
        <f t="shared" si="32"/>
        <v>0</v>
      </c>
      <c r="AM79" s="110">
        <f t="shared" si="25"/>
        <v>0</v>
      </c>
      <c r="AN79" s="109">
        <f t="shared" si="33"/>
        <v>0</v>
      </c>
      <c r="AO79" s="25"/>
      <c r="AP79" s="80">
        <f t="shared" si="26"/>
        <v>0</v>
      </c>
      <c r="AQ79" s="80">
        <f t="shared" si="34"/>
        <v>0.25</v>
      </c>
      <c r="AR79" s="25"/>
      <c r="AS79" s="66">
        <f t="shared" si="27"/>
        <v>1</v>
      </c>
      <c r="AT79" s="50">
        <f>IFERROR((MATCH(#REF!, $BA$21:$BA$23, 0) - 1)*4, 0)</f>
        <v>0</v>
      </c>
      <c r="AU79" s="48">
        <f>IFERROR(#REF!/2 + IF(J79&lt;0.75, 0, 4), 0)</f>
        <v>0</v>
      </c>
      <c r="AV79" s="48" t="str" cm="1">
        <f t="array" ref="AV79">IF($AU79&gt;0, INDEX($BA$12:$BP$19, $AU79, $AT79+AV$11), "-")</f>
        <v>-</v>
      </c>
      <c r="AW79" s="48" t="str" cm="1">
        <f t="array" ref="AW79">IF($AU79&gt;0, INDEX($BA$12:$BP$19, $AU79, $AT79+AW$11), "-")</f>
        <v>-</v>
      </c>
      <c r="AX79" s="48" t="str" cm="1">
        <f t="array" ref="AX79">IF($AU79&gt;0, INDEX($BA$12:$BP$19, $AU79, $AT79+AX$11), "-")</f>
        <v>-</v>
      </c>
      <c r="AY79" s="48" t="str" cm="1">
        <f t="array" ref="AY79">IF($AU79&gt;0, INDEX($BA$12:$BP$19, $AU79, $AT79+AY$11), "-")</f>
        <v>-</v>
      </c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</row>
    <row r="80" spans="1:69" s="91" customFormat="1" x14ac:dyDescent="0.2">
      <c r="A80" s="33" cm="1">
        <f t="array" ref="A80">IFERROR(INDEX(Operation, IFERROR(MATCH(#REF!, Y!$B$40:$B$51, 0), IFERROR(MATCH(#REF!, Y!$C$40:$C$51, 0), MATCH(#REF!, Y!$D$40:$D$51, 0))), 4), 0)</f>
        <v>0</v>
      </c>
      <c r="B80" s="105">
        <v>69</v>
      </c>
      <c r="C80" s="7"/>
      <c r="D80" s="7"/>
      <c r="E80" s="30"/>
      <c r="F80" s="8" t="str">
        <f>IF(ISBLANK(E80), "", VLOOKUP(E80, Z!$A$2:$C$4127, 3, FALSE))</f>
        <v/>
      </c>
      <c r="G80" s="60"/>
      <c r="H80" s="124"/>
      <c r="I80" s="34"/>
      <c r="J80" s="40"/>
      <c r="K80" s="41"/>
      <c r="L80" s="40"/>
      <c r="M80" s="31">
        <f t="shared" si="28"/>
        <v>0</v>
      </c>
      <c r="N80" s="7"/>
      <c r="O80" s="7"/>
      <c r="P80" s="61"/>
      <c r="Q80" s="35"/>
      <c r="R80" s="40"/>
      <c r="S80" s="31">
        <f t="shared" si="29"/>
        <v>0</v>
      </c>
      <c r="T80" s="6"/>
      <c r="U80" s="7"/>
      <c r="V80" s="30"/>
      <c r="W80" s="8" t="str">
        <f>IF(ISBLANK(V80), "", VLOOKUP(V80, Z!$A$2:$C$4127, 3, FALSE))</f>
        <v/>
      </c>
      <c r="X80" s="36"/>
      <c r="Y80" s="87">
        <f t="shared" si="30"/>
        <v>0</v>
      </c>
      <c r="Z80" s="21"/>
      <c r="AA80" s="106">
        <f>IFERROR(120*50/#REF!, 0)</f>
        <v>0</v>
      </c>
      <c r="AB80" s="106">
        <f>IFERROR(VLOOKUP($G80, Y!$F$2:$I$10, 4, FALSE), 0)</f>
        <v>0</v>
      </c>
      <c r="AC80" s="107">
        <f>IFERROR(VLOOKUP($G80, Y!$F$2:$I$10, 4, FALSE) * SQRT(H80/3600)/(I80/#REF!)^0.75, 0)</f>
        <v>0</v>
      </c>
      <c r="AD80" s="108">
        <f>IFERROR((88.59*LN(AC80) + 13.46*LN(H80) - 11.48*LN(AC80)^2 -0.85*LN(H80)^2 - 0.38*LN(AC80)*LN(H80) - VLOOKUP(G80,Y!$F$2:$H$10, 2, FALSE) ) / 100, 0)</f>
        <v>0</v>
      </c>
      <c r="AE80" s="109">
        <f t="shared" si="21"/>
        <v>0</v>
      </c>
      <c r="AF80" s="109">
        <f t="shared" si="31"/>
        <v>0</v>
      </c>
      <c r="AG80" s="110">
        <f t="shared" si="22"/>
        <v>0</v>
      </c>
      <c r="AH80" s="111">
        <f t="shared" si="23"/>
        <v>0</v>
      </c>
      <c r="AI80" s="25"/>
      <c r="AJ80" s="108">
        <f>IFERROR(#REF!*#REF!^2 /(#REF!/AA80)^2 +#REF! *#REF! /(#REF!/AA80), 0)</f>
        <v>0</v>
      </c>
      <c r="AK80" s="112">
        <f t="shared" si="24"/>
        <v>0</v>
      </c>
      <c r="AL80" s="112">
        <f t="shared" si="32"/>
        <v>0</v>
      </c>
      <c r="AM80" s="110">
        <f t="shared" si="25"/>
        <v>0</v>
      </c>
      <c r="AN80" s="109">
        <f t="shared" si="33"/>
        <v>0</v>
      </c>
      <c r="AO80" s="25"/>
      <c r="AP80" s="80">
        <f t="shared" si="26"/>
        <v>0</v>
      </c>
      <c r="AQ80" s="80">
        <f t="shared" si="34"/>
        <v>0.25</v>
      </c>
      <c r="AR80" s="25"/>
      <c r="AS80" s="66">
        <f t="shared" si="27"/>
        <v>1</v>
      </c>
      <c r="AT80" s="50">
        <f>IFERROR((MATCH(#REF!, $BA$21:$BA$23, 0) - 1)*4, 0)</f>
        <v>0</v>
      </c>
      <c r="AU80" s="48">
        <f>IFERROR(#REF!/2 + IF(J80&lt;0.75, 0, 4), 0)</f>
        <v>0</v>
      </c>
      <c r="AV80" s="48" t="str" cm="1">
        <f t="array" ref="AV80">IF($AU80&gt;0, INDEX($BA$12:$BP$19, $AU80, $AT80+AV$11), "-")</f>
        <v>-</v>
      </c>
      <c r="AW80" s="48" t="str" cm="1">
        <f t="array" ref="AW80">IF($AU80&gt;0, INDEX($BA$12:$BP$19, $AU80, $AT80+AW$11), "-")</f>
        <v>-</v>
      </c>
      <c r="AX80" s="48" t="str" cm="1">
        <f t="array" ref="AX80">IF($AU80&gt;0, INDEX($BA$12:$BP$19, $AU80, $AT80+AX$11), "-")</f>
        <v>-</v>
      </c>
      <c r="AY80" s="48" t="str" cm="1">
        <f t="array" ref="AY80">IF($AU80&gt;0, INDEX($BA$12:$BP$19, $AU80, $AT80+AY$11), "-")</f>
        <v>-</v>
      </c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</row>
    <row r="81" spans="1:69" s="91" customFormat="1" x14ac:dyDescent="0.2">
      <c r="A81" s="33" cm="1">
        <f t="array" ref="A81">IFERROR(INDEX(Operation, IFERROR(MATCH(#REF!, Y!$B$40:$B$51, 0), IFERROR(MATCH(#REF!, Y!$C$40:$C$51, 0), MATCH(#REF!, Y!$D$40:$D$51, 0))), 4), 0)</f>
        <v>0</v>
      </c>
      <c r="B81" s="105">
        <v>70</v>
      </c>
      <c r="C81" s="7"/>
      <c r="D81" s="7"/>
      <c r="E81" s="30"/>
      <c r="F81" s="8" t="str">
        <f>IF(ISBLANK(E81), "", VLOOKUP(E81, Z!$A$2:$C$4127, 3, FALSE))</f>
        <v/>
      </c>
      <c r="G81" s="60"/>
      <c r="H81" s="124"/>
      <c r="I81" s="34"/>
      <c r="J81" s="40"/>
      <c r="K81" s="41"/>
      <c r="L81" s="40"/>
      <c r="M81" s="31">
        <f t="shared" si="28"/>
        <v>0</v>
      </c>
      <c r="N81" s="7"/>
      <c r="O81" s="7"/>
      <c r="P81" s="61"/>
      <c r="Q81" s="35"/>
      <c r="R81" s="40"/>
      <c r="S81" s="31">
        <f t="shared" si="29"/>
        <v>0</v>
      </c>
      <c r="T81" s="6"/>
      <c r="U81" s="7"/>
      <c r="V81" s="30"/>
      <c r="W81" s="8" t="str">
        <f>IF(ISBLANK(V81), "", VLOOKUP(V81, Z!$A$2:$C$4127, 3, FALSE))</f>
        <v/>
      </c>
      <c r="X81" s="36"/>
      <c r="Y81" s="87">
        <f t="shared" si="30"/>
        <v>0</v>
      </c>
      <c r="Z81" s="21"/>
      <c r="AA81" s="106">
        <f>IFERROR(120*50/#REF!, 0)</f>
        <v>0</v>
      </c>
      <c r="AB81" s="106">
        <f>IFERROR(VLOOKUP($G81, Y!$F$2:$I$10, 4, FALSE), 0)</f>
        <v>0</v>
      </c>
      <c r="AC81" s="107">
        <f>IFERROR(VLOOKUP($G81, Y!$F$2:$I$10, 4, FALSE) * SQRT(H81/3600)/(I81/#REF!)^0.75, 0)</f>
        <v>0</v>
      </c>
      <c r="AD81" s="108">
        <f>IFERROR((88.59*LN(AC81) + 13.46*LN(H81) - 11.48*LN(AC81)^2 -0.85*LN(H81)^2 - 0.38*LN(AC81)*LN(H81) - VLOOKUP(G81,Y!$F$2:$H$10, 2, FALSE) ) / 100, 0)</f>
        <v>0</v>
      </c>
      <c r="AE81" s="109">
        <f t="shared" si="21"/>
        <v>0</v>
      </c>
      <c r="AF81" s="109">
        <f t="shared" si="31"/>
        <v>0</v>
      </c>
      <c r="AG81" s="110">
        <f t="shared" si="22"/>
        <v>0</v>
      </c>
      <c r="AH81" s="111">
        <f t="shared" si="23"/>
        <v>0</v>
      </c>
      <c r="AI81" s="25"/>
      <c r="AJ81" s="108">
        <f>IFERROR(#REF!*#REF!^2 /(#REF!/AA81)^2 +#REF! *#REF! /(#REF!/AA81), 0)</f>
        <v>0</v>
      </c>
      <c r="AK81" s="112">
        <f t="shared" si="24"/>
        <v>0</v>
      </c>
      <c r="AL81" s="112">
        <f t="shared" si="32"/>
        <v>0</v>
      </c>
      <c r="AM81" s="110">
        <f t="shared" si="25"/>
        <v>0</v>
      </c>
      <c r="AN81" s="109">
        <f t="shared" si="33"/>
        <v>0</v>
      </c>
      <c r="AO81" s="25"/>
      <c r="AP81" s="80">
        <f t="shared" si="26"/>
        <v>0</v>
      </c>
      <c r="AQ81" s="80">
        <f t="shared" si="34"/>
        <v>0.25</v>
      </c>
      <c r="AR81" s="25"/>
      <c r="AS81" s="66">
        <f t="shared" si="27"/>
        <v>1</v>
      </c>
      <c r="AT81" s="50">
        <f>IFERROR((MATCH(#REF!, $BA$21:$BA$23, 0) - 1)*4, 0)</f>
        <v>0</v>
      </c>
      <c r="AU81" s="48">
        <f>IFERROR(#REF!/2 + IF(J81&lt;0.75, 0, 4), 0)</f>
        <v>0</v>
      </c>
      <c r="AV81" s="48" t="str" cm="1">
        <f t="array" ref="AV81">IF($AU81&gt;0, INDEX($BA$12:$BP$19, $AU81, $AT81+AV$11), "-")</f>
        <v>-</v>
      </c>
      <c r="AW81" s="48" t="str" cm="1">
        <f t="array" ref="AW81">IF($AU81&gt;0, INDEX($BA$12:$BP$19, $AU81, $AT81+AW$11), "-")</f>
        <v>-</v>
      </c>
      <c r="AX81" s="48" t="str" cm="1">
        <f t="array" ref="AX81">IF($AU81&gt;0, INDEX($BA$12:$BP$19, $AU81, $AT81+AX$11), "-")</f>
        <v>-</v>
      </c>
      <c r="AY81" s="48" t="str" cm="1">
        <f t="array" ref="AY81">IF($AU81&gt;0, INDEX($BA$12:$BP$19, $AU81, $AT81+AY$11), "-")</f>
        <v>-</v>
      </c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</row>
    <row r="82" spans="1:69" s="91" customFormat="1" x14ac:dyDescent="0.2">
      <c r="A82" s="33" cm="1">
        <f t="array" ref="A82">IFERROR(INDEX(Operation, IFERROR(MATCH(#REF!, Y!$B$40:$B$51, 0), IFERROR(MATCH(#REF!, Y!$C$40:$C$51, 0), MATCH(#REF!, Y!$D$40:$D$51, 0))), 4), 0)</f>
        <v>0</v>
      </c>
      <c r="B82" s="105">
        <v>71</v>
      </c>
      <c r="C82" s="7"/>
      <c r="D82" s="7"/>
      <c r="E82" s="30"/>
      <c r="F82" s="8" t="str">
        <f>IF(ISBLANK(E82), "", VLOOKUP(E82, Z!$A$2:$C$4127, 3, FALSE))</f>
        <v/>
      </c>
      <c r="G82" s="60"/>
      <c r="H82" s="124"/>
      <c r="I82" s="34"/>
      <c r="J82" s="40"/>
      <c r="K82" s="41"/>
      <c r="L82" s="40"/>
      <c r="M82" s="31">
        <f t="shared" si="28"/>
        <v>0</v>
      </c>
      <c r="N82" s="7"/>
      <c r="O82" s="7"/>
      <c r="P82" s="61"/>
      <c r="Q82" s="35"/>
      <c r="R82" s="40"/>
      <c r="S82" s="31">
        <f t="shared" si="29"/>
        <v>0</v>
      </c>
      <c r="T82" s="6"/>
      <c r="U82" s="7"/>
      <c r="V82" s="30"/>
      <c r="W82" s="8" t="str">
        <f>IF(ISBLANK(V82), "", VLOOKUP(V82, Z!$A$2:$C$4127, 3, FALSE))</f>
        <v/>
      </c>
      <c r="X82" s="36"/>
      <c r="Y82" s="87">
        <f t="shared" si="30"/>
        <v>0</v>
      </c>
      <c r="Z82" s="21"/>
      <c r="AA82" s="106">
        <f>IFERROR(120*50/#REF!, 0)</f>
        <v>0</v>
      </c>
      <c r="AB82" s="106">
        <f>IFERROR(VLOOKUP($G82, Y!$F$2:$I$10, 4, FALSE), 0)</f>
        <v>0</v>
      </c>
      <c r="AC82" s="107">
        <f>IFERROR(VLOOKUP($G82, Y!$F$2:$I$10, 4, FALSE) * SQRT(H82/3600)/(I82/#REF!)^0.75, 0)</f>
        <v>0</v>
      </c>
      <c r="AD82" s="108">
        <f>IFERROR((88.59*LN(AC82) + 13.46*LN(H82) - 11.48*LN(AC82)^2 -0.85*LN(H82)^2 - 0.38*LN(AC82)*LN(H82) - VLOOKUP(G82,Y!$F$2:$H$10, 2, FALSE) ) / 100, 0)</f>
        <v>0</v>
      </c>
      <c r="AE82" s="109">
        <f t="shared" si="21"/>
        <v>0</v>
      </c>
      <c r="AF82" s="109">
        <f t="shared" si="31"/>
        <v>0</v>
      </c>
      <c r="AG82" s="110">
        <f t="shared" si="22"/>
        <v>0</v>
      </c>
      <c r="AH82" s="111">
        <f t="shared" si="23"/>
        <v>0</v>
      </c>
      <c r="AI82" s="25"/>
      <c r="AJ82" s="108">
        <f>IFERROR(#REF!*#REF!^2 /(#REF!/AA82)^2 +#REF! *#REF! /(#REF!/AA82), 0)</f>
        <v>0</v>
      </c>
      <c r="AK82" s="112">
        <f t="shared" si="24"/>
        <v>0</v>
      </c>
      <c r="AL82" s="112">
        <f t="shared" si="32"/>
        <v>0</v>
      </c>
      <c r="AM82" s="110">
        <f t="shared" si="25"/>
        <v>0</v>
      </c>
      <c r="AN82" s="109">
        <f t="shared" si="33"/>
        <v>0</v>
      </c>
      <c r="AO82" s="25"/>
      <c r="AP82" s="80">
        <f t="shared" si="26"/>
        <v>0</v>
      </c>
      <c r="AQ82" s="80">
        <f t="shared" si="34"/>
        <v>0.25</v>
      </c>
      <c r="AR82" s="25"/>
      <c r="AS82" s="66">
        <f t="shared" si="27"/>
        <v>1</v>
      </c>
      <c r="AT82" s="50">
        <f>IFERROR((MATCH(#REF!, $BA$21:$BA$23, 0) - 1)*4, 0)</f>
        <v>0</v>
      </c>
      <c r="AU82" s="48">
        <f>IFERROR(#REF!/2 + IF(J82&lt;0.75, 0, 4), 0)</f>
        <v>0</v>
      </c>
      <c r="AV82" s="48" t="str" cm="1">
        <f t="array" ref="AV82">IF($AU82&gt;0, INDEX($BA$12:$BP$19, $AU82, $AT82+AV$11), "-")</f>
        <v>-</v>
      </c>
      <c r="AW82" s="48" t="str" cm="1">
        <f t="array" ref="AW82">IF($AU82&gt;0, INDEX($BA$12:$BP$19, $AU82, $AT82+AW$11), "-")</f>
        <v>-</v>
      </c>
      <c r="AX82" s="48" t="str" cm="1">
        <f t="array" ref="AX82">IF($AU82&gt;0, INDEX($BA$12:$BP$19, $AU82, $AT82+AX$11), "-")</f>
        <v>-</v>
      </c>
      <c r="AY82" s="48" t="str" cm="1">
        <f t="array" ref="AY82">IF($AU82&gt;0, INDEX($BA$12:$BP$19, $AU82, $AT82+AY$11), "-")</f>
        <v>-</v>
      </c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</row>
    <row r="83" spans="1:69" s="91" customFormat="1" x14ac:dyDescent="0.2">
      <c r="A83" s="33" cm="1">
        <f t="array" ref="A83">IFERROR(INDEX(Operation, IFERROR(MATCH(#REF!, Y!$B$40:$B$51, 0), IFERROR(MATCH(#REF!, Y!$C$40:$C$51, 0), MATCH(#REF!, Y!$D$40:$D$51, 0))), 4), 0)</f>
        <v>0</v>
      </c>
      <c r="B83" s="105">
        <v>72</v>
      </c>
      <c r="C83" s="7"/>
      <c r="D83" s="7"/>
      <c r="E83" s="30"/>
      <c r="F83" s="8" t="str">
        <f>IF(ISBLANK(E83), "", VLOOKUP(E83, Z!$A$2:$C$4127, 3, FALSE))</f>
        <v/>
      </c>
      <c r="G83" s="60"/>
      <c r="H83" s="124"/>
      <c r="I83" s="34"/>
      <c r="J83" s="40"/>
      <c r="K83" s="41"/>
      <c r="L83" s="40"/>
      <c r="M83" s="31">
        <f t="shared" si="28"/>
        <v>0</v>
      </c>
      <c r="N83" s="7"/>
      <c r="O83" s="7"/>
      <c r="P83" s="61"/>
      <c r="Q83" s="35"/>
      <c r="R83" s="40"/>
      <c r="S83" s="31">
        <f t="shared" si="29"/>
        <v>0</v>
      </c>
      <c r="T83" s="6"/>
      <c r="U83" s="7"/>
      <c r="V83" s="30"/>
      <c r="W83" s="8" t="str">
        <f>IF(ISBLANK(V83), "", VLOOKUP(V83, Z!$A$2:$C$4127, 3, FALSE))</f>
        <v/>
      </c>
      <c r="X83" s="36"/>
      <c r="Y83" s="87">
        <f t="shared" si="30"/>
        <v>0</v>
      </c>
      <c r="Z83" s="21"/>
      <c r="AA83" s="106">
        <f>IFERROR(120*50/#REF!, 0)</f>
        <v>0</v>
      </c>
      <c r="AB83" s="106">
        <f>IFERROR(VLOOKUP($G83, Y!$F$2:$I$10, 4, FALSE), 0)</f>
        <v>0</v>
      </c>
      <c r="AC83" s="107">
        <f>IFERROR(VLOOKUP($G83, Y!$F$2:$I$10, 4, FALSE) * SQRT(H83/3600)/(I83/#REF!)^0.75, 0)</f>
        <v>0</v>
      </c>
      <c r="AD83" s="108">
        <f>IFERROR((88.59*LN(AC83) + 13.46*LN(H83) - 11.48*LN(AC83)^2 -0.85*LN(H83)^2 - 0.38*LN(AC83)*LN(H83) - VLOOKUP(G83,Y!$F$2:$H$10, 2, FALSE) ) / 100, 0)</f>
        <v>0</v>
      </c>
      <c r="AE83" s="109">
        <f t="shared" si="21"/>
        <v>0</v>
      </c>
      <c r="AF83" s="109">
        <f t="shared" si="31"/>
        <v>0</v>
      </c>
      <c r="AG83" s="110">
        <f t="shared" si="22"/>
        <v>0</v>
      </c>
      <c r="AH83" s="111">
        <f t="shared" si="23"/>
        <v>0</v>
      </c>
      <c r="AI83" s="25"/>
      <c r="AJ83" s="108">
        <f>IFERROR(#REF!*#REF!^2 /(#REF!/AA83)^2 +#REF! *#REF! /(#REF!/AA83), 0)</f>
        <v>0</v>
      </c>
      <c r="AK83" s="112">
        <f t="shared" si="24"/>
        <v>0</v>
      </c>
      <c r="AL83" s="112">
        <f t="shared" si="32"/>
        <v>0</v>
      </c>
      <c r="AM83" s="110">
        <f t="shared" si="25"/>
        <v>0</v>
      </c>
      <c r="AN83" s="109">
        <f t="shared" si="33"/>
        <v>0</v>
      </c>
      <c r="AO83" s="25"/>
      <c r="AP83" s="80">
        <f t="shared" si="26"/>
        <v>0</v>
      </c>
      <c r="AQ83" s="80">
        <f t="shared" si="34"/>
        <v>0.25</v>
      </c>
      <c r="AR83" s="25"/>
      <c r="AS83" s="66">
        <f t="shared" si="27"/>
        <v>1</v>
      </c>
      <c r="AT83" s="50">
        <f>IFERROR((MATCH(#REF!, $BA$21:$BA$23, 0) - 1)*4, 0)</f>
        <v>0</v>
      </c>
      <c r="AU83" s="48">
        <f>IFERROR(#REF!/2 + IF(J83&lt;0.75, 0, 4), 0)</f>
        <v>0</v>
      </c>
      <c r="AV83" s="48" t="str" cm="1">
        <f t="array" ref="AV83">IF($AU83&gt;0, INDEX($BA$12:$BP$19, $AU83, $AT83+AV$11), "-")</f>
        <v>-</v>
      </c>
      <c r="AW83" s="48" t="str" cm="1">
        <f t="array" ref="AW83">IF($AU83&gt;0, INDEX($BA$12:$BP$19, $AU83, $AT83+AW$11), "-")</f>
        <v>-</v>
      </c>
      <c r="AX83" s="48" t="str" cm="1">
        <f t="array" ref="AX83">IF($AU83&gt;0, INDEX($BA$12:$BP$19, $AU83, $AT83+AX$11), "-")</f>
        <v>-</v>
      </c>
      <c r="AY83" s="48" t="str" cm="1">
        <f t="array" ref="AY83">IF($AU83&gt;0, INDEX($BA$12:$BP$19, $AU83, $AT83+AY$11), "-")</f>
        <v>-</v>
      </c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</row>
    <row r="84" spans="1:69" s="91" customFormat="1" x14ac:dyDescent="0.2">
      <c r="A84" s="33" cm="1">
        <f t="array" ref="A84">IFERROR(INDEX(Operation, IFERROR(MATCH(#REF!, Y!$B$40:$B$51, 0), IFERROR(MATCH(#REF!, Y!$C$40:$C$51, 0), MATCH(#REF!, Y!$D$40:$D$51, 0))), 4), 0)</f>
        <v>0</v>
      </c>
      <c r="B84" s="105">
        <v>73</v>
      </c>
      <c r="C84" s="7"/>
      <c r="D84" s="7"/>
      <c r="E84" s="30"/>
      <c r="F84" s="8" t="str">
        <f>IF(ISBLANK(E84), "", VLOOKUP(E84, Z!$A$2:$C$4127, 3, FALSE))</f>
        <v/>
      </c>
      <c r="G84" s="60"/>
      <c r="H84" s="124"/>
      <c r="I84" s="34"/>
      <c r="J84" s="40"/>
      <c r="K84" s="41"/>
      <c r="L84" s="40"/>
      <c r="M84" s="31">
        <f t="shared" si="28"/>
        <v>0</v>
      </c>
      <c r="N84" s="7"/>
      <c r="O84" s="7"/>
      <c r="P84" s="61"/>
      <c r="Q84" s="35"/>
      <c r="R84" s="40"/>
      <c r="S84" s="31">
        <f t="shared" si="29"/>
        <v>0</v>
      </c>
      <c r="T84" s="6"/>
      <c r="U84" s="7"/>
      <c r="V84" s="30"/>
      <c r="W84" s="8" t="str">
        <f>IF(ISBLANK(V84), "", VLOOKUP(V84, Z!$A$2:$C$4127, 3, FALSE))</f>
        <v/>
      </c>
      <c r="X84" s="36"/>
      <c r="Y84" s="87">
        <f t="shared" si="30"/>
        <v>0</v>
      </c>
      <c r="Z84" s="21"/>
      <c r="AA84" s="106">
        <f>IFERROR(120*50/#REF!, 0)</f>
        <v>0</v>
      </c>
      <c r="AB84" s="106">
        <f>IFERROR(VLOOKUP($G84, Y!$F$2:$I$10, 4, FALSE), 0)</f>
        <v>0</v>
      </c>
      <c r="AC84" s="107">
        <f>IFERROR(VLOOKUP($G84, Y!$F$2:$I$10, 4, FALSE) * SQRT(H84/3600)/(I84/#REF!)^0.75, 0)</f>
        <v>0</v>
      </c>
      <c r="AD84" s="108">
        <f>IFERROR((88.59*LN(AC84) + 13.46*LN(H84) - 11.48*LN(AC84)^2 -0.85*LN(H84)^2 - 0.38*LN(AC84)*LN(H84) - VLOOKUP(G84,Y!$F$2:$H$10, 2, FALSE) ) / 100, 0)</f>
        <v>0</v>
      </c>
      <c r="AE84" s="109">
        <f t="shared" si="21"/>
        <v>0</v>
      </c>
      <c r="AF84" s="109">
        <f t="shared" si="31"/>
        <v>0</v>
      </c>
      <c r="AG84" s="110">
        <f t="shared" si="22"/>
        <v>0</v>
      </c>
      <c r="AH84" s="111">
        <f t="shared" si="23"/>
        <v>0</v>
      </c>
      <c r="AI84" s="25"/>
      <c r="AJ84" s="108">
        <f>IFERROR(#REF!*#REF!^2 /(#REF!/AA84)^2 +#REF! *#REF! /(#REF!/AA84), 0)</f>
        <v>0</v>
      </c>
      <c r="AK84" s="112">
        <f t="shared" si="24"/>
        <v>0</v>
      </c>
      <c r="AL84" s="112">
        <f t="shared" si="32"/>
        <v>0</v>
      </c>
      <c r="AM84" s="110">
        <f t="shared" si="25"/>
        <v>0</v>
      </c>
      <c r="AN84" s="109">
        <f t="shared" si="33"/>
        <v>0</v>
      </c>
      <c r="AO84" s="25"/>
      <c r="AP84" s="80">
        <f t="shared" si="26"/>
        <v>0</v>
      </c>
      <c r="AQ84" s="80">
        <f t="shared" si="34"/>
        <v>0.25</v>
      </c>
      <c r="AR84" s="25"/>
      <c r="AS84" s="66">
        <f t="shared" si="27"/>
        <v>1</v>
      </c>
      <c r="AT84" s="50">
        <f>IFERROR((MATCH(#REF!, $BA$21:$BA$23, 0) - 1)*4, 0)</f>
        <v>0</v>
      </c>
      <c r="AU84" s="48">
        <f>IFERROR(#REF!/2 + IF(J84&lt;0.75, 0, 4), 0)</f>
        <v>0</v>
      </c>
      <c r="AV84" s="48" t="str" cm="1">
        <f t="array" ref="AV84">IF($AU84&gt;0, INDEX($BA$12:$BP$19, $AU84, $AT84+AV$11), "-")</f>
        <v>-</v>
      </c>
      <c r="AW84" s="48" t="str" cm="1">
        <f t="array" ref="AW84">IF($AU84&gt;0, INDEX($BA$12:$BP$19, $AU84, $AT84+AW$11), "-")</f>
        <v>-</v>
      </c>
      <c r="AX84" s="48" t="str" cm="1">
        <f t="array" ref="AX84">IF($AU84&gt;0, INDEX($BA$12:$BP$19, $AU84, $AT84+AX$11), "-")</f>
        <v>-</v>
      </c>
      <c r="AY84" s="48" t="str" cm="1">
        <f t="array" ref="AY84">IF($AU84&gt;0, INDEX($BA$12:$BP$19, $AU84, $AT84+AY$11), "-")</f>
        <v>-</v>
      </c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</row>
    <row r="85" spans="1:69" s="91" customFormat="1" x14ac:dyDescent="0.2">
      <c r="A85" s="33" cm="1">
        <f t="array" ref="A85">IFERROR(INDEX(Operation, IFERROR(MATCH(#REF!, Y!$B$40:$B$51, 0), IFERROR(MATCH(#REF!, Y!$C$40:$C$51, 0), MATCH(#REF!, Y!$D$40:$D$51, 0))), 4), 0)</f>
        <v>0</v>
      </c>
      <c r="B85" s="105">
        <v>74</v>
      </c>
      <c r="C85" s="7"/>
      <c r="D85" s="7"/>
      <c r="E85" s="30"/>
      <c r="F85" s="8" t="str">
        <f>IF(ISBLANK(E85), "", VLOOKUP(E85, Z!$A$2:$C$4127, 3, FALSE))</f>
        <v/>
      </c>
      <c r="G85" s="60"/>
      <c r="H85" s="124"/>
      <c r="I85" s="34"/>
      <c r="J85" s="40"/>
      <c r="K85" s="41"/>
      <c r="L85" s="40"/>
      <c r="M85" s="31">
        <f t="shared" si="28"/>
        <v>0</v>
      </c>
      <c r="N85" s="7"/>
      <c r="O85" s="7"/>
      <c r="P85" s="61"/>
      <c r="Q85" s="35"/>
      <c r="R85" s="40"/>
      <c r="S85" s="31">
        <f t="shared" si="29"/>
        <v>0</v>
      </c>
      <c r="T85" s="6"/>
      <c r="U85" s="7"/>
      <c r="V85" s="30"/>
      <c r="W85" s="8" t="str">
        <f>IF(ISBLANK(V85), "", VLOOKUP(V85, Z!$A$2:$C$4127, 3, FALSE))</f>
        <v/>
      </c>
      <c r="X85" s="36"/>
      <c r="Y85" s="87">
        <f t="shared" si="30"/>
        <v>0</v>
      </c>
      <c r="Z85" s="21"/>
      <c r="AA85" s="106">
        <f>IFERROR(120*50/#REF!, 0)</f>
        <v>0</v>
      </c>
      <c r="AB85" s="106">
        <f>IFERROR(VLOOKUP($G85, Y!$F$2:$I$10, 4, FALSE), 0)</f>
        <v>0</v>
      </c>
      <c r="AC85" s="107">
        <f>IFERROR(VLOOKUP($G85, Y!$F$2:$I$10, 4, FALSE) * SQRT(H85/3600)/(I85/#REF!)^0.75, 0)</f>
        <v>0</v>
      </c>
      <c r="AD85" s="108">
        <f>IFERROR((88.59*LN(AC85) + 13.46*LN(H85) - 11.48*LN(AC85)^2 -0.85*LN(H85)^2 - 0.38*LN(AC85)*LN(H85) - VLOOKUP(G85,Y!$F$2:$H$10, 2, FALSE) ) / 100, 0)</f>
        <v>0</v>
      </c>
      <c r="AE85" s="109">
        <f t="shared" si="21"/>
        <v>0</v>
      </c>
      <c r="AF85" s="109">
        <f t="shared" si="31"/>
        <v>0</v>
      </c>
      <c r="AG85" s="110">
        <f t="shared" si="22"/>
        <v>0</v>
      </c>
      <c r="AH85" s="111">
        <f t="shared" si="23"/>
        <v>0</v>
      </c>
      <c r="AI85" s="25"/>
      <c r="AJ85" s="108">
        <f>IFERROR(#REF!*#REF!^2 /(#REF!/AA85)^2 +#REF! *#REF! /(#REF!/AA85), 0)</f>
        <v>0</v>
      </c>
      <c r="AK85" s="112">
        <f t="shared" si="24"/>
        <v>0</v>
      </c>
      <c r="AL85" s="112">
        <f t="shared" si="32"/>
        <v>0</v>
      </c>
      <c r="AM85" s="110">
        <f t="shared" si="25"/>
        <v>0</v>
      </c>
      <c r="AN85" s="109">
        <f t="shared" si="33"/>
        <v>0</v>
      </c>
      <c r="AO85" s="25"/>
      <c r="AP85" s="80">
        <f t="shared" si="26"/>
        <v>0</v>
      </c>
      <c r="AQ85" s="80">
        <f t="shared" si="34"/>
        <v>0.25</v>
      </c>
      <c r="AR85" s="25"/>
      <c r="AS85" s="66">
        <f t="shared" si="27"/>
        <v>1</v>
      </c>
      <c r="AT85" s="50">
        <f>IFERROR((MATCH(#REF!, $BA$21:$BA$23, 0) - 1)*4, 0)</f>
        <v>0</v>
      </c>
      <c r="AU85" s="48">
        <f>IFERROR(#REF!/2 + IF(J85&lt;0.75, 0, 4), 0)</f>
        <v>0</v>
      </c>
      <c r="AV85" s="48" t="str" cm="1">
        <f t="array" ref="AV85">IF($AU85&gt;0, INDEX($BA$12:$BP$19, $AU85, $AT85+AV$11), "-")</f>
        <v>-</v>
      </c>
      <c r="AW85" s="48" t="str" cm="1">
        <f t="array" ref="AW85">IF($AU85&gt;0, INDEX($BA$12:$BP$19, $AU85, $AT85+AW$11), "-")</f>
        <v>-</v>
      </c>
      <c r="AX85" s="48" t="str" cm="1">
        <f t="array" ref="AX85">IF($AU85&gt;0, INDEX($BA$12:$BP$19, $AU85, $AT85+AX$11), "-")</f>
        <v>-</v>
      </c>
      <c r="AY85" s="48" t="str" cm="1">
        <f t="array" ref="AY85">IF($AU85&gt;0, INDEX($BA$12:$BP$19, $AU85, $AT85+AY$11), "-")</f>
        <v>-</v>
      </c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</row>
    <row r="86" spans="1:69" s="91" customFormat="1" x14ac:dyDescent="0.2">
      <c r="A86" s="33" cm="1">
        <f t="array" ref="A86">IFERROR(INDEX(Operation, IFERROR(MATCH(#REF!, Y!$B$40:$B$51, 0), IFERROR(MATCH(#REF!, Y!$C$40:$C$51, 0), MATCH(#REF!, Y!$D$40:$D$51, 0))), 4), 0)</f>
        <v>0</v>
      </c>
      <c r="B86" s="105">
        <v>75</v>
      </c>
      <c r="C86" s="7"/>
      <c r="D86" s="7"/>
      <c r="E86" s="30"/>
      <c r="F86" s="8" t="str">
        <f>IF(ISBLANK(E86), "", VLOOKUP(E86, Z!$A$2:$C$4127, 3, FALSE))</f>
        <v/>
      </c>
      <c r="G86" s="60"/>
      <c r="H86" s="124"/>
      <c r="I86" s="34"/>
      <c r="J86" s="40"/>
      <c r="K86" s="41"/>
      <c r="L86" s="40"/>
      <c r="M86" s="31">
        <f t="shared" si="28"/>
        <v>0</v>
      </c>
      <c r="N86" s="7"/>
      <c r="O86" s="7"/>
      <c r="P86" s="61"/>
      <c r="Q86" s="35"/>
      <c r="R86" s="40"/>
      <c r="S86" s="31">
        <f t="shared" si="29"/>
        <v>0</v>
      </c>
      <c r="T86" s="6"/>
      <c r="U86" s="7"/>
      <c r="V86" s="30"/>
      <c r="W86" s="8" t="str">
        <f>IF(ISBLANK(V86), "", VLOOKUP(V86, Z!$A$2:$C$4127, 3, FALSE))</f>
        <v/>
      </c>
      <c r="X86" s="36"/>
      <c r="Y86" s="87">
        <f t="shared" si="30"/>
        <v>0</v>
      </c>
      <c r="Z86" s="21"/>
      <c r="AA86" s="106">
        <f>IFERROR(120*50/#REF!, 0)</f>
        <v>0</v>
      </c>
      <c r="AB86" s="106">
        <f>IFERROR(VLOOKUP($G86, Y!$F$2:$I$10, 4, FALSE), 0)</f>
        <v>0</v>
      </c>
      <c r="AC86" s="107">
        <f>IFERROR(VLOOKUP($G86, Y!$F$2:$I$10, 4, FALSE) * SQRT(H86/3600)/(I86/#REF!)^0.75, 0)</f>
        <v>0</v>
      </c>
      <c r="AD86" s="108">
        <f>IFERROR((88.59*LN(AC86) + 13.46*LN(H86) - 11.48*LN(AC86)^2 -0.85*LN(H86)^2 - 0.38*LN(AC86)*LN(H86) - VLOOKUP(G86,Y!$F$2:$H$10, 2, FALSE) ) / 100, 0)</f>
        <v>0</v>
      </c>
      <c r="AE86" s="109">
        <f t="shared" si="21"/>
        <v>0</v>
      </c>
      <c r="AF86" s="109">
        <f t="shared" si="31"/>
        <v>0</v>
      </c>
      <c r="AG86" s="110">
        <f t="shared" si="22"/>
        <v>0</v>
      </c>
      <c r="AH86" s="111">
        <f t="shared" si="23"/>
        <v>0</v>
      </c>
      <c r="AI86" s="25"/>
      <c r="AJ86" s="108">
        <f>IFERROR(#REF!*#REF!^2 /(#REF!/AA86)^2 +#REF! *#REF! /(#REF!/AA86), 0)</f>
        <v>0</v>
      </c>
      <c r="AK86" s="112">
        <f t="shared" si="24"/>
        <v>0</v>
      </c>
      <c r="AL86" s="112">
        <f t="shared" si="32"/>
        <v>0</v>
      </c>
      <c r="AM86" s="110">
        <f t="shared" si="25"/>
        <v>0</v>
      </c>
      <c r="AN86" s="109">
        <f t="shared" si="33"/>
        <v>0</v>
      </c>
      <c r="AO86" s="25"/>
      <c r="AP86" s="80">
        <f t="shared" si="26"/>
        <v>0</v>
      </c>
      <c r="AQ86" s="80">
        <f t="shared" si="34"/>
        <v>0.25</v>
      </c>
      <c r="AR86" s="25"/>
      <c r="AS86" s="66">
        <f t="shared" si="27"/>
        <v>1</v>
      </c>
      <c r="AT86" s="50">
        <f>IFERROR((MATCH(#REF!, $BA$21:$BA$23, 0) - 1)*4, 0)</f>
        <v>0</v>
      </c>
      <c r="AU86" s="48">
        <f>IFERROR(#REF!/2 + IF(J86&lt;0.75, 0, 4), 0)</f>
        <v>0</v>
      </c>
      <c r="AV86" s="48" t="str" cm="1">
        <f t="array" ref="AV86">IF($AU86&gt;0, INDEX($BA$12:$BP$19, $AU86, $AT86+AV$11), "-")</f>
        <v>-</v>
      </c>
      <c r="AW86" s="48" t="str" cm="1">
        <f t="array" ref="AW86">IF($AU86&gt;0, INDEX($BA$12:$BP$19, $AU86, $AT86+AW$11), "-")</f>
        <v>-</v>
      </c>
      <c r="AX86" s="48" t="str" cm="1">
        <f t="array" ref="AX86">IF($AU86&gt;0, INDEX($BA$12:$BP$19, $AU86, $AT86+AX$11), "-")</f>
        <v>-</v>
      </c>
      <c r="AY86" s="48" t="str" cm="1">
        <f t="array" ref="AY86">IF($AU86&gt;0, INDEX($BA$12:$BP$19, $AU86, $AT86+AY$11), "-")</f>
        <v>-</v>
      </c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</row>
    <row r="87" spans="1:69" s="91" customFormat="1" x14ac:dyDescent="0.2">
      <c r="A87" s="33" cm="1">
        <f t="array" ref="A87">IFERROR(INDEX(Operation, IFERROR(MATCH(#REF!, Y!$B$40:$B$51, 0), IFERROR(MATCH(#REF!, Y!$C$40:$C$51, 0), MATCH(#REF!, Y!$D$40:$D$51, 0))), 4), 0)</f>
        <v>0</v>
      </c>
      <c r="B87" s="105">
        <v>76</v>
      </c>
      <c r="C87" s="7"/>
      <c r="D87" s="7"/>
      <c r="E87" s="30"/>
      <c r="F87" s="8" t="str">
        <f>IF(ISBLANK(E87), "", VLOOKUP(E87, Z!$A$2:$C$4127, 3, FALSE))</f>
        <v/>
      </c>
      <c r="G87" s="60"/>
      <c r="H87" s="124"/>
      <c r="I87" s="34"/>
      <c r="J87" s="40"/>
      <c r="K87" s="41"/>
      <c r="L87" s="40"/>
      <c r="M87" s="31">
        <f t="shared" si="28"/>
        <v>0</v>
      </c>
      <c r="N87" s="7"/>
      <c r="O87" s="7"/>
      <c r="P87" s="61"/>
      <c r="Q87" s="35"/>
      <c r="R87" s="40"/>
      <c r="S87" s="31">
        <f t="shared" si="29"/>
        <v>0</v>
      </c>
      <c r="T87" s="6"/>
      <c r="U87" s="7"/>
      <c r="V87" s="30"/>
      <c r="W87" s="8" t="str">
        <f>IF(ISBLANK(V87), "", VLOOKUP(V87, Z!$A$2:$C$4127, 3, FALSE))</f>
        <v/>
      </c>
      <c r="X87" s="36"/>
      <c r="Y87" s="87">
        <f t="shared" si="30"/>
        <v>0</v>
      </c>
      <c r="Z87" s="21"/>
      <c r="AA87" s="106">
        <f>IFERROR(120*50/#REF!, 0)</f>
        <v>0</v>
      </c>
      <c r="AB87" s="106">
        <f>IFERROR(VLOOKUP($G87, Y!$F$2:$I$10, 4, FALSE), 0)</f>
        <v>0</v>
      </c>
      <c r="AC87" s="107">
        <f>IFERROR(VLOOKUP($G87, Y!$F$2:$I$10, 4, FALSE) * SQRT(H87/3600)/(I87/#REF!)^0.75, 0)</f>
        <v>0</v>
      </c>
      <c r="AD87" s="108">
        <f>IFERROR((88.59*LN(AC87) + 13.46*LN(H87) - 11.48*LN(AC87)^2 -0.85*LN(H87)^2 - 0.38*LN(AC87)*LN(H87) - VLOOKUP(G87,Y!$F$2:$H$10, 2, FALSE) ) / 100, 0)</f>
        <v>0</v>
      </c>
      <c r="AE87" s="109">
        <f t="shared" si="21"/>
        <v>0</v>
      </c>
      <c r="AF87" s="109">
        <f t="shared" si="31"/>
        <v>0</v>
      </c>
      <c r="AG87" s="110">
        <f t="shared" si="22"/>
        <v>0</v>
      </c>
      <c r="AH87" s="111">
        <f t="shared" si="23"/>
        <v>0</v>
      </c>
      <c r="AI87" s="25"/>
      <c r="AJ87" s="108">
        <f>IFERROR(#REF!*#REF!^2 /(#REF!/AA87)^2 +#REF! *#REF! /(#REF!/AA87), 0)</f>
        <v>0</v>
      </c>
      <c r="AK87" s="112">
        <f t="shared" si="24"/>
        <v>0</v>
      </c>
      <c r="AL87" s="112">
        <f t="shared" si="32"/>
        <v>0</v>
      </c>
      <c r="AM87" s="110">
        <f t="shared" si="25"/>
        <v>0</v>
      </c>
      <c r="AN87" s="109">
        <f t="shared" si="33"/>
        <v>0</v>
      </c>
      <c r="AO87" s="25"/>
      <c r="AP87" s="80">
        <f t="shared" si="26"/>
        <v>0</v>
      </c>
      <c r="AQ87" s="80">
        <f t="shared" si="34"/>
        <v>0.25</v>
      </c>
      <c r="AR87" s="25"/>
      <c r="AS87" s="66">
        <f t="shared" si="27"/>
        <v>1</v>
      </c>
      <c r="AT87" s="50">
        <f>IFERROR((MATCH(#REF!, $BA$21:$BA$23, 0) - 1)*4, 0)</f>
        <v>0</v>
      </c>
      <c r="AU87" s="48">
        <f>IFERROR(#REF!/2 + IF(J87&lt;0.75, 0, 4), 0)</f>
        <v>0</v>
      </c>
      <c r="AV87" s="48" t="str" cm="1">
        <f t="array" ref="AV87">IF($AU87&gt;0, INDEX($BA$12:$BP$19, $AU87, $AT87+AV$11), "-")</f>
        <v>-</v>
      </c>
      <c r="AW87" s="48" t="str" cm="1">
        <f t="array" ref="AW87">IF($AU87&gt;0, INDEX($BA$12:$BP$19, $AU87, $AT87+AW$11), "-")</f>
        <v>-</v>
      </c>
      <c r="AX87" s="48" t="str" cm="1">
        <f t="array" ref="AX87">IF($AU87&gt;0, INDEX($BA$12:$BP$19, $AU87, $AT87+AX$11), "-")</f>
        <v>-</v>
      </c>
      <c r="AY87" s="48" t="str" cm="1">
        <f t="array" ref="AY87">IF($AU87&gt;0, INDEX($BA$12:$BP$19, $AU87, $AT87+AY$11), "-")</f>
        <v>-</v>
      </c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</row>
    <row r="88" spans="1:69" s="91" customFormat="1" x14ac:dyDescent="0.2">
      <c r="A88" s="33" cm="1">
        <f t="array" ref="A88">IFERROR(INDEX(Operation, IFERROR(MATCH(#REF!, Y!$B$40:$B$51, 0), IFERROR(MATCH(#REF!, Y!$C$40:$C$51, 0), MATCH(#REF!, Y!$D$40:$D$51, 0))), 4), 0)</f>
        <v>0</v>
      </c>
      <c r="B88" s="105">
        <v>77</v>
      </c>
      <c r="C88" s="7"/>
      <c r="D88" s="7"/>
      <c r="E88" s="30"/>
      <c r="F88" s="8" t="str">
        <f>IF(ISBLANK(E88), "", VLOOKUP(E88, Z!$A$2:$C$4127, 3, FALSE))</f>
        <v/>
      </c>
      <c r="G88" s="60"/>
      <c r="H88" s="124"/>
      <c r="I88" s="34"/>
      <c r="J88" s="40"/>
      <c r="K88" s="41"/>
      <c r="L88" s="40"/>
      <c r="M88" s="31">
        <f t="shared" si="28"/>
        <v>0</v>
      </c>
      <c r="N88" s="7"/>
      <c r="O88" s="7"/>
      <c r="P88" s="61"/>
      <c r="Q88" s="35"/>
      <c r="R88" s="40"/>
      <c r="S88" s="31">
        <f t="shared" si="29"/>
        <v>0</v>
      </c>
      <c r="T88" s="6"/>
      <c r="U88" s="7"/>
      <c r="V88" s="30"/>
      <c r="W88" s="8" t="str">
        <f>IF(ISBLANK(V88), "", VLOOKUP(V88, Z!$A$2:$C$4127, 3, FALSE))</f>
        <v/>
      </c>
      <c r="X88" s="36"/>
      <c r="Y88" s="87">
        <f t="shared" si="30"/>
        <v>0</v>
      </c>
      <c r="Z88" s="21"/>
      <c r="AA88" s="106">
        <f>IFERROR(120*50/#REF!, 0)</f>
        <v>0</v>
      </c>
      <c r="AB88" s="106">
        <f>IFERROR(VLOOKUP($G88, Y!$F$2:$I$10, 4, FALSE), 0)</f>
        <v>0</v>
      </c>
      <c r="AC88" s="107">
        <f>IFERROR(VLOOKUP($G88, Y!$F$2:$I$10, 4, FALSE) * SQRT(H88/3600)/(I88/#REF!)^0.75, 0)</f>
        <v>0</v>
      </c>
      <c r="AD88" s="108">
        <f>IFERROR((88.59*LN(AC88) + 13.46*LN(H88) - 11.48*LN(AC88)^2 -0.85*LN(H88)^2 - 0.38*LN(AC88)*LN(H88) - VLOOKUP(G88,Y!$F$2:$H$10, 2, FALSE) ) / 100, 0)</f>
        <v>0</v>
      </c>
      <c r="AE88" s="109">
        <f t="shared" si="21"/>
        <v>0</v>
      </c>
      <c r="AF88" s="109">
        <f t="shared" si="31"/>
        <v>0</v>
      </c>
      <c r="AG88" s="110">
        <f t="shared" si="22"/>
        <v>0</v>
      </c>
      <c r="AH88" s="111">
        <f t="shared" si="23"/>
        <v>0</v>
      </c>
      <c r="AI88" s="25"/>
      <c r="AJ88" s="108">
        <f>IFERROR(#REF!*#REF!^2 /(#REF!/AA88)^2 +#REF! *#REF! /(#REF!/AA88), 0)</f>
        <v>0</v>
      </c>
      <c r="AK88" s="112">
        <f t="shared" si="24"/>
        <v>0</v>
      </c>
      <c r="AL88" s="112">
        <f t="shared" si="32"/>
        <v>0</v>
      </c>
      <c r="AM88" s="110">
        <f t="shared" si="25"/>
        <v>0</v>
      </c>
      <c r="AN88" s="109">
        <f t="shared" si="33"/>
        <v>0</v>
      </c>
      <c r="AO88" s="25"/>
      <c r="AP88" s="80">
        <f t="shared" si="26"/>
        <v>0</v>
      </c>
      <c r="AQ88" s="80">
        <f t="shared" si="34"/>
        <v>0.25</v>
      </c>
      <c r="AR88" s="25"/>
      <c r="AS88" s="66">
        <f t="shared" si="27"/>
        <v>1</v>
      </c>
      <c r="AT88" s="50">
        <f>IFERROR((MATCH(#REF!, $BA$21:$BA$23, 0) - 1)*4, 0)</f>
        <v>0</v>
      </c>
      <c r="AU88" s="48">
        <f>IFERROR(#REF!/2 + IF(J88&lt;0.75, 0, 4), 0)</f>
        <v>0</v>
      </c>
      <c r="AV88" s="48" t="str" cm="1">
        <f t="array" ref="AV88">IF($AU88&gt;0, INDEX($BA$12:$BP$19, $AU88, $AT88+AV$11), "-")</f>
        <v>-</v>
      </c>
      <c r="AW88" s="48" t="str" cm="1">
        <f t="array" ref="AW88">IF($AU88&gt;0, INDEX($BA$12:$BP$19, $AU88, $AT88+AW$11), "-")</f>
        <v>-</v>
      </c>
      <c r="AX88" s="48" t="str" cm="1">
        <f t="array" ref="AX88">IF($AU88&gt;0, INDEX($BA$12:$BP$19, $AU88, $AT88+AX$11), "-")</f>
        <v>-</v>
      </c>
      <c r="AY88" s="48" t="str" cm="1">
        <f t="array" ref="AY88">IF($AU88&gt;0, INDEX($BA$12:$BP$19, $AU88, $AT88+AY$11), "-")</f>
        <v>-</v>
      </c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</row>
    <row r="89" spans="1:69" s="91" customFormat="1" x14ac:dyDescent="0.2">
      <c r="A89" s="33" cm="1">
        <f t="array" ref="A89">IFERROR(INDEX(Operation, IFERROR(MATCH(#REF!, Y!$B$40:$B$51, 0), IFERROR(MATCH(#REF!, Y!$C$40:$C$51, 0), MATCH(#REF!, Y!$D$40:$D$51, 0))), 4), 0)</f>
        <v>0</v>
      </c>
      <c r="B89" s="105">
        <v>78</v>
      </c>
      <c r="C89" s="7"/>
      <c r="D89" s="7"/>
      <c r="E89" s="30"/>
      <c r="F89" s="8" t="str">
        <f>IF(ISBLANK(E89), "", VLOOKUP(E89, Z!$A$2:$C$4127, 3, FALSE))</f>
        <v/>
      </c>
      <c r="G89" s="60"/>
      <c r="H89" s="124"/>
      <c r="I89" s="34"/>
      <c r="J89" s="40"/>
      <c r="K89" s="41"/>
      <c r="L89" s="40"/>
      <c r="M89" s="31">
        <f t="shared" si="28"/>
        <v>0</v>
      </c>
      <c r="N89" s="7"/>
      <c r="O89" s="7"/>
      <c r="P89" s="61"/>
      <c r="Q89" s="35"/>
      <c r="R89" s="40"/>
      <c r="S89" s="31">
        <f t="shared" si="29"/>
        <v>0</v>
      </c>
      <c r="T89" s="6"/>
      <c r="U89" s="7"/>
      <c r="V89" s="30"/>
      <c r="W89" s="8" t="str">
        <f>IF(ISBLANK(V89), "", VLOOKUP(V89, Z!$A$2:$C$4127, 3, FALSE))</f>
        <v/>
      </c>
      <c r="X89" s="36"/>
      <c r="Y89" s="87">
        <f t="shared" si="30"/>
        <v>0</v>
      </c>
      <c r="Z89" s="21"/>
      <c r="AA89" s="106">
        <f>IFERROR(120*50/#REF!, 0)</f>
        <v>0</v>
      </c>
      <c r="AB89" s="106">
        <f>IFERROR(VLOOKUP($G89, Y!$F$2:$I$10, 4, FALSE), 0)</f>
        <v>0</v>
      </c>
      <c r="AC89" s="107">
        <f>IFERROR(VLOOKUP($G89, Y!$F$2:$I$10, 4, FALSE) * SQRT(H89/3600)/(I89/#REF!)^0.75, 0)</f>
        <v>0</v>
      </c>
      <c r="AD89" s="108">
        <f>IFERROR((88.59*LN(AC89) + 13.46*LN(H89) - 11.48*LN(AC89)^2 -0.85*LN(H89)^2 - 0.38*LN(AC89)*LN(H89) - VLOOKUP(G89,Y!$F$2:$H$10, 2, FALSE) ) / 100, 0)</f>
        <v>0</v>
      </c>
      <c r="AE89" s="109">
        <f t="shared" si="21"/>
        <v>0</v>
      </c>
      <c r="AF89" s="109">
        <f t="shared" si="31"/>
        <v>0</v>
      </c>
      <c r="AG89" s="110">
        <f t="shared" si="22"/>
        <v>0</v>
      </c>
      <c r="AH89" s="111">
        <f t="shared" si="23"/>
        <v>0</v>
      </c>
      <c r="AI89" s="25"/>
      <c r="AJ89" s="108">
        <f>IFERROR(#REF!*#REF!^2 /(#REF!/AA89)^2 +#REF! *#REF! /(#REF!/AA89), 0)</f>
        <v>0</v>
      </c>
      <c r="AK89" s="112">
        <f t="shared" si="24"/>
        <v>0</v>
      </c>
      <c r="AL89" s="112">
        <f t="shared" si="32"/>
        <v>0</v>
      </c>
      <c r="AM89" s="110">
        <f t="shared" si="25"/>
        <v>0</v>
      </c>
      <c r="AN89" s="109">
        <f t="shared" si="33"/>
        <v>0</v>
      </c>
      <c r="AO89" s="25"/>
      <c r="AP89" s="80">
        <f t="shared" si="26"/>
        <v>0</v>
      </c>
      <c r="AQ89" s="80">
        <f t="shared" si="34"/>
        <v>0.25</v>
      </c>
      <c r="AR89" s="25"/>
      <c r="AS89" s="66">
        <f t="shared" si="27"/>
        <v>1</v>
      </c>
      <c r="AT89" s="50">
        <f>IFERROR((MATCH(#REF!, $BA$21:$BA$23, 0) - 1)*4, 0)</f>
        <v>0</v>
      </c>
      <c r="AU89" s="48">
        <f>IFERROR(#REF!/2 + IF(J89&lt;0.75, 0, 4), 0)</f>
        <v>0</v>
      </c>
      <c r="AV89" s="48" t="str" cm="1">
        <f t="array" ref="AV89">IF($AU89&gt;0, INDEX($BA$12:$BP$19, $AU89, $AT89+AV$11), "-")</f>
        <v>-</v>
      </c>
      <c r="AW89" s="48" t="str" cm="1">
        <f t="array" ref="AW89">IF($AU89&gt;0, INDEX($BA$12:$BP$19, $AU89, $AT89+AW$11), "-")</f>
        <v>-</v>
      </c>
      <c r="AX89" s="48" t="str" cm="1">
        <f t="array" ref="AX89">IF($AU89&gt;0, INDEX($BA$12:$BP$19, $AU89, $AT89+AX$11), "-")</f>
        <v>-</v>
      </c>
      <c r="AY89" s="48" t="str" cm="1">
        <f t="array" ref="AY89">IF($AU89&gt;0, INDEX($BA$12:$BP$19, $AU89, $AT89+AY$11), "-")</f>
        <v>-</v>
      </c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</row>
    <row r="90" spans="1:69" s="91" customFormat="1" x14ac:dyDescent="0.2">
      <c r="A90" s="33" cm="1">
        <f t="array" ref="A90">IFERROR(INDEX(Operation, IFERROR(MATCH(#REF!, Y!$B$40:$B$51, 0), IFERROR(MATCH(#REF!, Y!$C$40:$C$51, 0), MATCH(#REF!, Y!$D$40:$D$51, 0))), 4), 0)</f>
        <v>0</v>
      </c>
      <c r="B90" s="105">
        <v>79</v>
      </c>
      <c r="C90" s="7"/>
      <c r="D90" s="7"/>
      <c r="E90" s="30"/>
      <c r="F90" s="8" t="str">
        <f>IF(ISBLANK(E90), "", VLOOKUP(E90, Z!$A$2:$C$4127, 3, FALSE))</f>
        <v/>
      </c>
      <c r="G90" s="60"/>
      <c r="H90" s="124"/>
      <c r="I90" s="34"/>
      <c r="J90" s="40"/>
      <c r="K90" s="41"/>
      <c r="L90" s="40"/>
      <c r="M90" s="31">
        <f t="shared" si="28"/>
        <v>0</v>
      </c>
      <c r="N90" s="7"/>
      <c r="O90" s="7"/>
      <c r="P90" s="61"/>
      <c r="Q90" s="35"/>
      <c r="R90" s="40"/>
      <c r="S90" s="31">
        <f t="shared" si="29"/>
        <v>0</v>
      </c>
      <c r="T90" s="6"/>
      <c r="U90" s="7"/>
      <c r="V90" s="30"/>
      <c r="W90" s="8" t="str">
        <f>IF(ISBLANK(V90), "", VLOOKUP(V90, Z!$A$2:$C$4127, 3, FALSE))</f>
        <v/>
      </c>
      <c r="X90" s="36"/>
      <c r="Y90" s="87">
        <f t="shared" si="30"/>
        <v>0</v>
      </c>
      <c r="Z90" s="21"/>
      <c r="AA90" s="106">
        <f>IFERROR(120*50/#REF!, 0)</f>
        <v>0</v>
      </c>
      <c r="AB90" s="106">
        <f>IFERROR(VLOOKUP($G90, Y!$F$2:$I$10, 4, FALSE), 0)</f>
        <v>0</v>
      </c>
      <c r="AC90" s="107">
        <f>IFERROR(VLOOKUP($G90, Y!$F$2:$I$10, 4, FALSE) * SQRT(H90/3600)/(I90/#REF!)^0.75, 0)</f>
        <v>0</v>
      </c>
      <c r="AD90" s="108">
        <f>IFERROR((88.59*LN(AC90) + 13.46*LN(H90) - 11.48*LN(AC90)^2 -0.85*LN(H90)^2 - 0.38*LN(AC90)*LN(H90) - VLOOKUP(G90,Y!$F$2:$H$10, 2, FALSE) ) / 100, 0)</f>
        <v>0</v>
      </c>
      <c r="AE90" s="109">
        <f t="shared" si="21"/>
        <v>0</v>
      </c>
      <c r="AF90" s="109">
        <f t="shared" si="31"/>
        <v>0</v>
      </c>
      <c r="AG90" s="110">
        <f t="shared" si="22"/>
        <v>0</v>
      </c>
      <c r="AH90" s="111">
        <f t="shared" si="23"/>
        <v>0</v>
      </c>
      <c r="AI90" s="25"/>
      <c r="AJ90" s="108">
        <f>IFERROR(#REF!*#REF!^2 /(#REF!/AA90)^2 +#REF! *#REF! /(#REF!/AA90), 0)</f>
        <v>0</v>
      </c>
      <c r="AK90" s="112">
        <f t="shared" si="24"/>
        <v>0</v>
      </c>
      <c r="AL90" s="112">
        <f t="shared" si="32"/>
        <v>0</v>
      </c>
      <c r="AM90" s="110">
        <f t="shared" si="25"/>
        <v>0</v>
      </c>
      <c r="AN90" s="109">
        <f t="shared" si="33"/>
        <v>0</v>
      </c>
      <c r="AO90" s="25"/>
      <c r="AP90" s="80">
        <f t="shared" si="26"/>
        <v>0</v>
      </c>
      <c r="AQ90" s="80">
        <f t="shared" si="34"/>
        <v>0.25</v>
      </c>
      <c r="AR90" s="25"/>
      <c r="AS90" s="66">
        <f t="shared" si="27"/>
        <v>1</v>
      </c>
      <c r="AT90" s="50">
        <f>IFERROR((MATCH(#REF!, $BA$21:$BA$23, 0) - 1)*4, 0)</f>
        <v>0</v>
      </c>
      <c r="AU90" s="48">
        <f>IFERROR(#REF!/2 + IF(J90&lt;0.75, 0, 4), 0)</f>
        <v>0</v>
      </c>
      <c r="AV90" s="48" t="str" cm="1">
        <f t="array" ref="AV90">IF($AU90&gt;0, INDEX($BA$12:$BP$19, $AU90, $AT90+AV$11), "-")</f>
        <v>-</v>
      </c>
      <c r="AW90" s="48" t="str" cm="1">
        <f t="array" ref="AW90">IF($AU90&gt;0, INDEX($BA$12:$BP$19, $AU90, $AT90+AW$11), "-")</f>
        <v>-</v>
      </c>
      <c r="AX90" s="48" t="str" cm="1">
        <f t="array" ref="AX90">IF($AU90&gt;0, INDEX($BA$12:$BP$19, $AU90, $AT90+AX$11), "-")</f>
        <v>-</v>
      </c>
      <c r="AY90" s="48" t="str" cm="1">
        <f t="array" ref="AY90">IF($AU90&gt;0, INDEX($BA$12:$BP$19, $AU90, $AT90+AY$11), "-")</f>
        <v>-</v>
      </c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</row>
    <row r="91" spans="1:69" s="91" customFormat="1" x14ac:dyDescent="0.2">
      <c r="A91" s="33" cm="1">
        <f t="array" ref="A91">IFERROR(INDEX(Operation, IFERROR(MATCH(#REF!, Y!$B$40:$B$51, 0), IFERROR(MATCH(#REF!, Y!$C$40:$C$51, 0), MATCH(#REF!, Y!$D$40:$D$51, 0))), 4), 0)</f>
        <v>0</v>
      </c>
      <c r="B91" s="105">
        <v>80</v>
      </c>
      <c r="C91" s="7"/>
      <c r="D91" s="7"/>
      <c r="E91" s="30"/>
      <c r="F91" s="8" t="str">
        <f>IF(ISBLANK(E91), "", VLOOKUP(E91, Z!$A$2:$C$4127, 3, FALSE))</f>
        <v/>
      </c>
      <c r="G91" s="60"/>
      <c r="H91" s="124"/>
      <c r="I91" s="34"/>
      <c r="J91" s="40"/>
      <c r="K91" s="41"/>
      <c r="L91" s="40"/>
      <c r="M91" s="31">
        <f t="shared" si="28"/>
        <v>0</v>
      </c>
      <c r="N91" s="7"/>
      <c r="O91" s="7"/>
      <c r="P91" s="61"/>
      <c r="Q91" s="35"/>
      <c r="R91" s="40"/>
      <c r="S91" s="31">
        <f t="shared" si="29"/>
        <v>0</v>
      </c>
      <c r="T91" s="6"/>
      <c r="U91" s="7"/>
      <c r="V91" s="30"/>
      <c r="W91" s="8" t="str">
        <f>IF(ISBLANK(V91), "", VLOOKUP(V91, Z!$A$2:$C$4127, 3, FALSE))</f>
        <v/>
      </c>
      <c r="X91" s="36"/>
      <c r="Y91" s="87">
        <f t="shared" si="30"/>
        <v>0</v>
      </c>
      <c r="Z91" s="21"/>
      <c r="AA91" s="106">
        <f>IFERROR(120*50/#REF!, 0)</f>
        <v>0</v>
      </c>
      <c r="AB91" s="106">
        <f>IFERROR(VLOOKUP($G91, Y!$F$2:$I$10, 4, FALSE), 0)</f>
        <v>0</v>
      </c>
      <c r="AC91" s="107">
        <f>IFERROR(VLOOKUP($G91, Y!$F$2:$I$10, 4, FALSE) * SQRT(H91/3600)/(I91/#REF!)^0.75, 0)</f>
        <v>0</v>
      </c>
      <c r="AD91" s="108">
        <f>IFERROR((88.59*LN(AC91) + 13.46*LN(H91) - 11.48*LN(AC91)^2 -0.85*LN(H91)^2 - 0.38*LN(AC91)*LN(H91) - VLOOKUP(G91,Y!$F$2:$H$10, 2, FALSE) ) / 100, 0)</f>
        <v>0</v>
      </c>
      <c r="AE91" s="109">
        <f t="shared" si="21"/>
        <v>0</v>
      </c>
      <c r="AF91" s="109">
        <f t="shared" si="31"/>
        <v>0</v>
      </c>
      <c r="AG91" s="110">
        <f t="shared" si="22"/>
        <v>0</v>
      </c>
      <c r="AH91" s="111">
        <f t="shared" si="23"/>
        <v>0</v>
      </c>
      <c r="AI91" s="25"/>
      <c r="AJ91" s="108">
        <f>IFERROR(#REF!*#REF!^2 /(#REF!/AA91)^2 +#REF! *#REF! /(#REF!/AA91), 0)</f>
        <v>0</v>
      </c>
      <c r="AK91" s="112">
        <f t="shared" si="24"/>
        <v>0</v>
      </c>
      <c r="AL91" s="112">
        <f t="shared" si="32"/>
        <v>0</v>
      </c>
      <c r="AM91" s="110">
        <f t="shared" si="25"/>
        <v>0</v>
      </c>
      <c r="AN91" s="109">
        <f t="shared" si="33"/>
        <v>0</v>
      </c>
      <c r="AO91" s="25"/>
      <c r="AP91" s="80">
        <f t="shared" si="26"/>
        <v>0</v>
      </c>
      <c r="AQ91" s="80">
        <f t="shared" si="34"/>
        <v>0.25</v>
      </c>
      <c r="AR91" s="25"/>
      <c r="AS91" s="66">
        <f t="shared" si="27"/>
        <v>1</v>
      </c>
      <c r="AT91" s="50">
        <f>IFERROR((MATCH(#REF!, $BA$21:$BA$23, 0) - 1)*4, 0)</f>
        <v>0</v>
      </c>
      <c r="AU91" s="48">
        <f>IFERROR(#REF!/2 + IF(J91&lt;0.75, 0, 4), 0)</f>
        <v>0</v>
      </c>
      <c r="AV91" s="48" t="str" cm="1">
        <f t="array" ref="AV91">IF($AU91&gt;0, INDEX($BA$12:$BP$19, $AU91, $AT91+AV$11), "-")</f>
        <v>-</v>
      </c>
      <c r="AW91" s="48" t="str" cm="1">
        <f t="array" ref="AW91">IF($AU91&gt;0, INDEX($BA$12:$BP$19, $AU91, $AT91+AW$11), "-")</f>
        <v>-</v>
      </c>
      <c r="AX91" s="48" t="str" cm="1">
        <f t="array" ref="AX91">IF($AU91&gt;0, INDEX($BA$12:$BP$19, $AU91, $AT91+AX$11), "-")</f>
        <v>-</v>
      </c>
      <c r="AY91" s="48" t="str" cm="1">
        <f t="array" ref="AY91">IF($AU91&gt;0, INDEX($BA$12:$BP$19, $AU91, $AT91+AY$11), "-")</f>
        <v>-</v>
      </c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</row>
    <row r="92" spans="1:69" s="91" customFormat="1" x14ac:dyDescent="0.2">
      <c r="A92" s="33" cm="1">
        <f t="array" ref="A92">IFERROR(INDEX(Operation, IFERROR(MATCH(#REF!, Y!$B$40:$B$51, 0), IFERROR(MATCH(#REF!, Y!$C$40:$C$51, 0), MATCH(#REF!, Y!$D$40:$D$51, 0))), 4), 0)</f>
        <v>0</v>
      </c>
      <c r="B92" s="105">
        <v>81</v>
      </c>
      <c r="C92" s="7"/>
      <c r="D92" s="7"/>
      <c r="E92" s="30"/>
      <c r="F92" s="8" t="str">
        <f>IF(ISBLANK(E92), "", VLOOKUP(E92, Z!$A$2:$C$4127, 3, FALSE))</f>
        <v/>
      </c>
      <c r="G92" s="60"/>
      <c r="H92" s="124"/>
      <c r="I92" s="34"/>
      <c r="J92" s="40"/>
      <c r="K92" s="41"/>
      <c r="L92" s="40"/>
      <c r="M92" s="31">
        <f t="shared" si="28"/>
        <v>0</v>
      </c>
      <c r="N92" s="7"/>
      <c r="O92" s="7"/>
      <c r="P92" s="61"/>
      <c r="Q92" s="35"/>
      <c r="R92" s="40"/>
      <c r="S92" s="31">
        <f t="shared" si="29"/>
        <v>0</v>
      </c>
      <c r="T92" s="6"/>
      <c r="U92" s="7"/>
      <c r="V92" s="30"/>
      <c r="W92" s="8" t="str">
        <f>IF(ISBLANK(V92), "", VLOOKUP(V92, Z!$A$2:$C$4127, 3, FALSE))</f>
        <v/>
      </c>
      <c r="X92" s="36"/>
      <c r="Y92" s="87">
        <f t="shared" si="30"/>
        <v>0</v>
      </c>
      <c r="Z92" s="21"/>
      <c r="AA92" s="106">
        <f>IFERROR(120*50/#REF!, 0)</f>
        <v>0</v>
      </c>
      <c r="AB92" s="106">
        <f>IFERROR(VLOOKUP($G92, Y!$F$2:$I$10, 4, FALSE), 0)</f>
        <v>0</v>
      </c>
      <c r="AC92" s="107">
        <f>IFERROR(VLOOKUP($G92, Y!$F$2:$I$10, 4, FALSE) * SQRT(H92/3600)/(I92/#REF!)^0.75, 0)</f>
        <v>0</v>
      </c>
      <c r="AD92" s="108">
        <f>IFERROR((88.59*LN(AC92) + 13.46*LN(H92) - 11.48*LN(AC92)^2 -0.85*LN(H92)^2 - 0.38*LN(AC92)*LN(H92) - VLOOKUP(G92,Y!$F$2:$H$10, 2, FALSE) ) / 100, 0)</f>
        <v>0</v>
      </c>
      <c r="AE92" s="109">
        <f t="shared" si="21"/>
        <v>0</v>
      </c>
      <c r="AF92" s="109">
        <f t="shared" si="31"/>
        <v>0</v>
      </c>
      <c r="AG92" s="110">
        <f t="shared" si="22"/>
        <v>0</v>
      </c>
      <c r="AH92" s="111">
        <f t="shared" si="23"/>
        <v>0</v>
      </c>
      <c r="AI92" s="25"/>
      <c r="AJ92" s="108">
        <f>IFERROR(#REF!*#REF!^2 /(#REF!/AA92)^2 +#REF! *#REF! /(#REF!/AA92), 0)</f>
        <v>0</v>
      </c>
      <c r="AK92" s="112">
        <f t="shared" si="24"/>
        <v>0</v>
      </c>
      <c r="AL92" s="112">
        <f t="shared" si="32"/>
        <v>0</v>
      </c>
      <c r="AM92" s="110">
        <f t="shared" si="25"/>
        <v>0</v>
      </c>
      <c r="AN92" s="109">
        <f t="shared" si="33"/>
        <v>0</v>
      </c>
      <c r="AO92" s="25"/>
      <c r="AP92" s="80">
        <f t="shared" si="26"/>
        <v>0</v>
      </c>
      <c r="AQ92" s="80">
        <f t="shared" si="34"/>
        <v>0.25</v>
      </c>
      <c r="AR92" s="25"/>
      <c r="AS92" s="66">
        <f t="shared" si="27"/>
        <v>1</v>
      </c>
      <c r="AT92" s="50">
        <f>IFERROR((MATCH(#REF!, $BA$21:$BA$23, 0) - 1)*4, 0)</f>
        <v>0</v>
      </c>
      <c r="AU92" s="48">
        <f>IFERROR(#REF!/2 + IF(J92&lt;0.75, 0, 4), 0)</f>
        <v>0</v>
      </c>
      <c r="AV92" s="48" t="str" cm="1">
        <f t="array" ref="AV92">IF($AU92&gt;0, INDEX($BA$12:$BP$19, $AU92, $AT92+AV$11), "-")</f>
        <v>-</v>
      </c>
      <c r="AW92" s="48" t="str" cm="1">
        <f t="array" ref="AW92">IF($AU92&gt;0, INDEX($BA$12:$BP$19, $AU92, $AT92+AW$11), "-")</f>
        <v>-</v>
      </c>
      <c r="AX92" s="48" t="str" cm="1">
        <f t="array" ref="AX92">IF($AU92&gt;0, INDEX($BA$12:$BP$19, $AU92, $AT92+AX$11), "-")</f>
        <v>-</v>
      </c>
      <c r="AY92" s="48" t="str" cm="1">
        <f t="array" ref="AY92">IF($AU92&gt;0, INDEX($BA$12:$BP$19, $AU92, $AT92+AY$11), "-")</f>
        <v>-</v>
      </c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</row>
    <row r="93" spans="1:69" s="91" customFormat="1" x14ac:dyDescent="0.2">
      <c r="A93" s="33" cm="1">
        <f t="array" ref="A93">IFERROR(INDEX(Operation, IFERROR(MATCH(#REF!, Y!$B$40:$B$51, 0), IFERROR(MATCH(#REF!, Y!$C$40:$C$51, 0), MATCH(#REF!, Y!$D$40:$D$51, 0))), 4), 0)</f>
        <v>0</v>
      </c>
      <c r="B93" s="105">
        <v>82</v>
      </c>
      <c r="C93" s="7"/>
      <c r="D93" s="7"/>
      <c r="E93" s="30"/>
      <c r="F93" s="8" t="str">
        <f>IF(ISBLANK(E93), "", VLOOKUP(E93, Z!$A$2:$C$4127, 3, FALSE))</f>
        <v/>
      </c>
      <c r="G93" s="60"/>
      <c r="H93" s="124"/>
      <c r="I93" s="34"/>
      <c r="J93" s="40"/>
      <c r="K93" s="41"/>
      <c r="L93" s="40"/>
      <c r="M93" s="31">
        <f t="shared" si="28"/>
        <v>0</v>
      </c>
      <c r="N93" s="7"/>
      <c r="O93" s="7"/>
      <c r="P93" s="61"/>
      <c r="Q93" s="35"/>
      <c r="R93" s="40"/>
      <c r="S93" s="31">
        <f t="shared" si="29"/>
        <v>0</v>
      </c>
      <c r="T93" s="6"/>
      <c r="U93" s="7"/>
      <c r="V93" s="30"/>
      <c r="W93" s="8" t="str">
        <f>IF(ISBLANK(V93), "", VLOOKUP(V93, Z!$A$2:$C$4127, 3, FALSE))</f>
        <v/>
      </c>
      <c r="X93" s="36"/>
      <c r="Y93" s="87">
        <f t="shared" si="30"/>
        <v>0</v>
      </c>
      <c r="Z93" s="21"/>
      <c r="AA93" s="106">
        <f>IFERROR(120*50/#REF!, 0)</f>
        <v>0</v>
      </c>
      <c r="AB93" s="106">
        <f>IFERROR(VLOOKUP($G93, Y!$F$2:$I$10, 4, FALSE), 0)</f>
        <v>0</v>
      </c>
      <c r="AC93" s="107">
        <f>IFERROR(VLOOKUP($G93, Y!$F$2:$I$10, 4, FALSE) * SQRT(H93/3600)/(I93/#REF!)^0.75, 0)</f>
        <v>0</v>
      </c>
      <c r="AD93" s="108">
        <f>IFERROR((88.59*LN(AC93) + 13.46*LN(H93) - 11.48*LN(AC93)^2 -0.85*LN(H93)^2 - 0.38*LN(AC93)*LN(H93) - VLOOKUP(G93,Y!$F$2:$H$10, 2, FALSE) ) / 100, 0)</f>
        <v>0</v>
      </c>
      <c r="AE93" s="109">
        <f t="shared" si="21"/>
        <v>0</v>
      </c>
      <c r="AF93" s="109">
        <f t="shared" si="31"/>
        <v>0</v>
      </c>
      <c r="AG93" s="110">
        <f t="shared" si="22"/>
        <v>0</v>
      </c>
      <c r="AH93" s="111">
        <f t="shared" si="23"/>
        <v>0</v>
      </c>
      <c r="AI93" s="25"/>
      <c r="AJ93" s="108">
        <f>IFERROR(#REF!*#REF!^2 /(#REF!/AA93)^2 +#REF! *#REF! /(#REF!/AA93), 0)</f>
        <v>0</v>
      </c>
      <c r="AK93" s="112">
        <f t="shared" si="24"/>
        <v>0</v>
      </c>
      <c r="AL93" s="112">
        <f t="shared" si="32"/>
        <v>0</v>
      </c>
      <c r="AM93" s="110">
        <f t="shared" si="25"/>
        <v>0</v>
      </c>
      <c r="AN93" s="109">
        <f t="shared" si="33"/>
        <v>0</v>
      </c>
      <c r="AO93" s="25"/>
      <c r="AP93" s="80">
        <f t="shared" si="26"/>
        <v>0</v>
      </c>
      <c r="AQ93" s="80">
        <f t="shared" si="34"/>
        <v>0.25</v>
      </c>
      <c r="AR93" s="25"/>
      <c r="AS93" s="66">
        <f t="shared" si="27"/>
        <v>1</v>
      </c>
      <c r="AT93" s="50">
        <f>IFERROR((MATCH(#REF!, $BA$21:$BA$23, 0) - 1)*4, 0)</f>
        <v>0</v>
      </c>
      <c r="AU93" s="48">
        <f>IFERROR(#REF!/2 + IF(J93&lt;0.75, 0, 4), 0)</f>
        <v>0</v>
      </c>
      <c r="AV93" s="48" t="str" cm="1">
        <f t="array" ref="AV93">IF($AU93&gt;0, INDEX($BA$12:$BP$19, $AU93, $AT93+AV$11), "-")</f>
        <v>-</v>
      </c>
      <c r="AW93" s="48" t="str" cm="1">
        <f t="array" ref="AW93">IF($AU93&gt;0, INDEX($BA$12:$BP$19, $AU93, $AT93+AW$11), "-")</f>
        <v>-</v>
      </c>
      <c r="AX93" s="48" t="str" cm="1">
        <f t="array" ref="AX93">IF($AU93&gt;0, INDEX($BA$12:$BP$19, $AU93, $AT93+AX$11), "-")</f>
        <v>-</v>
      </c>
      <c r="AY93" s="48" t="str" cm="1">
        <f t="array" ref="AY93">IF($AU93&gt;0, INDEX($BA$12:$BP$19, $AU93, $AT93+AY$11), "-")</f>
        <v>-</v>
      </c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</row>
    <row r="94" spans="1:69" s="91" customFormat="1" x14ac:dyDescent="0.2">
      <c r="A94" s="33" cm="1">
        <f t="array" ref="A94">IFERROR(INDEX(Operation, IFERROR(MATCH(#REF!, Y!$B$40:$B$51, 0), IFERROR(MATCH(#REF!, Y!$C$40:$C$51, 0), MATCH(#REF!, Y!$D$40:$D$51, 0))), 4), 0)</f>
        <v>0</v>
      </c>
      <c r="B94" s="105">
        <v>83</v>
      </c>
      <c r="C94" s="7"/>
      <c r="D94" s="7"/>
      <c r="E94" s="30"/>
      <c r="F94" s="8" t="str">
        <f>IF(ISBLANK(E94), "", VLOOKUP(E94, Z!$A$2:$C$4127, 3, FALSE))</f>
        <v/>
      </c>
      <c r="G94" s="60"/>
      <c r="H94" s="124"/>
      <c r="I94" s="34"/>
      <c r="J94" s="40"/>
      <c r="K94" s="41"/>
      <c r="L94" s="40"/>
      <c r="M94" s="31">
        <f t="shared" si="28"/>
        <v>0</v>
      </c>
      <c r="N94" s="7"/>
      <c r="O94" s="7"/>
      <c r="P94" s="61"/>
      <c r="Q94" s="35"/>
      <c r="R94" s="40"/>
      <c r="S94" s="31">
        <f t="shared" si="29"/>
        <v>0</v>
      </c>
      <c r="T94" s="6"/>
      <c r="U94" s="7"/>
      <c r="V94" s="30"/>
      <c r="W94" s="8" t="str">
        <f>IF(ISBLANK(V94), "", VLOOKUP(V94, Z!$A$2:$C$4127, 3, FALSE))</f>
        <v/>
      </c>
      <c r="X94" s="36"/>
      <c r="Y94" s="87">
        <f t="shared" si="30"/>
        <v>0</v>
      </c>
      <c r="Z94" s="21"/>
      <c r="AA94" s="106">
        <f>IFERROR(120*50/#REF!, 0)</f>
        <v>0</v>
      </c>
      <c r="AB94" s="106">
        <f>IFERROR(VLOOKUP($G94, Y!$F$2:$I$10, 4, FALSE), 0)</f>
        <v>0</v>
      </c>
      <c r="AC94" s="107">
        <f>IFERROR(VLOOKUP($G94, Y!$F$2:$I$10, 4, FALSE) * SQRT(H94/3600)/(I94/#REF!)^0.75, 0)</f>
        <v>0</v>
      </c>
      <c r="AD94" s="108">
        <f>IFERROR((88.59*LN(AC94) + 13.46*LN(H94) - 11.48*LN(AC94)^2 -0.85*LN(H94)^2 - 0.38*LN(AC94)*LN(H94) - VLOOKUP(G94,Y!$F$2:$H$10, 2, FALSE) ) / 100, 0)</f>
        <v>0</v>
      </c>
      <c r="AE94" s="109">
        <f t="shared" si="21"/>
        <v>0</v>
      </c>
      <c r="AF94" s="109">
        <f t="shared" si="31"/>
        <v>0</v>
      </c>
      <c r="AG94" s="110">
        <f t="shared" si="22"/>
        <v>0</v>
      </c>
      <c r="AH94" s="111">
        <f t="shared" si="23"/>
        <v>0</v>
      </c>
      <c r="AI94" s="25"/>
      <c r="AJ94" s="108">
        <f>IFERROR(#REF!*#REF!^2 /(#REF!/AA94)^2 +#REF! *#REF! /(#REF!/AA94), 0)</f>
        <v>0</v>
      </c>
      <c r="AK94" s="112">
        <f t="shared" si="24"/>
        <v>0</v>
      </c>
      <c r="AL94" s="112">
        <f t="shared" si="32"/>
        <v>0</v>
      </c>
      <c r="AM94" s="110">
        <f t="shared" si="25"/>
        <v>0</v>
      </c>
      <c r="AN94" s="109">
        <f t="shared" si="33"/>
        <v>0</v>
      </c>
      <c r="AO94" s="25"/>
      <c r="AP94" s="80">
        <f t="shared" si="26"/>
        <v>0</v>
      </c>
      <c r="AQ94" s="80">
        <f t="shared" si="34"/>
        <v>0.25</v>
      </c>
      <c r="AR94" s="25"/>
      <c r="AS94" s="66">
        <f t="shared" si="27"/>
        <v>1</v>
      </c>
      <c r="AT94" s="50">
        <f>IFERROR((MATCH(#REF!, $BA$21:$BA$23, 0) - 1)*4, 0)</f>
        <v>0</v>
      </c>
      <c r="AU94" s="48">
        <f>IFERROR(#REF!/2 + IF(J94&lt;0.75, 0, 4), 0)</f>
        <v>0</v>
      </c>
      <c r="AV94" s="48" t="str" cm="1">
        <f t="array" ref="AV94">IF($AU94&gt;0, INDEX($BA$12:$BP$19, $AU94, $AT94+AV$11), "-")</f>
        <v>-</v>
      </c>
      <c r="AW94" s="48" t="str" cm="1">
        <f t="array" ref="AW94">IF($AU94&gt;0, INDEX($BA$12:$BP$19, $AU94, $AT94+AW$11), "-")</f>
        <v>-</v>
      </c>
      <c r="AX94" s="48" t="str" cm="1">
        <f t="array" ref="AX94">IF($AU94&gt;0, INDEX($BA$12:$BP$19, $AU94, $AT94+AX$11), "-")</f>
        <v>-</v>
      </c>
      <c r="AY94" s="48" t="str" cm="1">
        <f t="array" ref="AY94">IF($AU94&gt;0, INDEX($BA$12:$BP$19, $AU94, $AT94+AY$11), "-")</f>
        <v>-</v>
      </c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</row>
    <row r="95" spans="1:69" s="91" customFormat="1" x14ac:dyDescent="0.2">
      <c r="A95" s="33" cm="1">
        <f t="array" ref="A95">IFERROR(INDEX(Operation, IFERROR(MATCH(#REF!, Y!$B$40:$B$51, 0), IFERROR(MATCH(#REF!, Y!$C$40:$C$51, 0), MATCH(#REF!, Y!$D$40:$D$51, 0))), 4), 0)</f>
        <v>0</v>
      </c>
      <c r="B95" s="105">
        <v>84</v>
      </c>
      <c r="C95" s="7"/>
      <c r="D95" s="7"/>
      <c r="E95" s="30"/>
      <c r="F95" s="8" t="str">
        <f>IF(ISBLANK(E95), "", VLOOKUP(E95, Z!$A$2:$C$4127, 3, FALSE))</f>
        <v/>
      </c>
      <c r="G95" s="60"/>
      <c r="H95" s="124"/>
      <c r="I95" s="34"/>
      <c r="J95" s="40"/>
      <c r="K95" s="41"/>
      <c r="L95" s="40"/>
      <c r="M95" s="31">
        <f t="shared" si="28"/>
        <v>0</v>
      </c>
      <c r="N95" s="7"/>
      <c r="O95" s="7"/>
      <c r="P95" s="61"/>
      <c r="Q95" s="35"/>
      <c r="R95" s="40"/>
      <c r="S95" s="31">
        <f t="shared" si="29"/>
        <v>0</v>
      </c>
      <c r="T95" s="6"/>
      <c r="U95" s="7"/>
      <c r="V95" s="30"/>
      <c r="W95" s="8" t="str">
        <f>IF(ISBLANK(V95), "", VLOOKUP(V95, Z!$A$2:$C$4127, 3, FALSE))</f>
        <v/>
      </c>
      <c r="X95" s="36"/>
      <c r="Y95" s="87">
        <f t="shared" si="30"/>
        <v>0</v>
      </c>
      <c r="Z95" s="21"/>
      <c r="AA95" s="106">
        <f>IFERROR(120*50/#REF!, 0)</f>
        <v>0</v>
      </c>
      <c r="AB95" s="106">
        <f>IFERROR(VLOOKUP($G95, Y!$F$2:$I$10, 4, FALSE), 0)</f>
        <v>0</v>
      </c>
      <c r="AC95" s="107">
        <f>IFERROR(VLOOKUP($G95, Y!$F$2:$I$10, 4, FALSE) * SQRT(H95/3600)/(I95/#REF!)^0.75, 0)</f>
        <v>0</v>
      </c>
      <c r="AD95" s="108">
        <f>IFERROR((88.59*LN(AC95) + 13.46*LN(H95) - 11.48*LN(AC95)^2 -0.85*LN(H95)^2 - 0.38*LN(AC95)*LN(H95) - VLOOKUP(G95,Y!$F$2:$H$10, 2, FALSE) ) / 100, 0)</f>
        <v>0</v>
      </c>
      <c r="AE95" s="109">
        <f t="shared" si="21"/>
        <v>0</v>
      </c>
      <c r="AF95" s="109">
        <f t="shared" si="31"/>
        <v>0</v>
      </c>
      <c r="AG95" s="110">
        <f t="shared" si="22"/>
        <v>0</v>
      </c>
      <c r="AH95" s="111">
        <f t="shared" si="23"/>
        <v>0</v>
      </c>
      <c r="AI95" s="25"/>
      <c r="AJ95" s="108">
        <f>IFERROR(#REF!*#REF!^2 /(#REF!/AA95)^2 +#REF! *#REF! /(#REF!/AA95), 0)</f>
        <v>0</v>
      </c>
      <c r="AK95" s="112">
        <f t="shared" si="24"/>
        <v>0</v>
      </c>
      <c r="AL95" s="112">
        <f t="shared" si="32"/>
        <v>0</v>
      </c>
      <c r="AM95" s="110">
        <f t="shared" si="25"/>
        <v>0</v>
      </c>
      <c r="AN95" s="109">
        <f t="shared" si="33"/>
        <v>0</v>
      </c>
      <c r="AO95" s="25"/>
      <c r="AP95" s="80">
        <f t="shared" si="26"/>
        <v>0</v>
      </c>
      <c r="AQ95" s="80">
        <f t="shared" si="34"/>
        <v>0.25</v>
      </c>
      <c r="AR95" s="25"/>
      <c r="AS95" s="66">
        <f t="shared" si="27"/>
        <v>1</v>
      </c>
      <c r="AT95" s="50">
        <f>IFERROR((MATCH(#REF!, $BA$21:$BA$23, 0) - 1)*4, 0)</f>
        <v>0</v>
      </c>
      <c r="AU95" s="48">
        <f>IFERROR(#REF!/2 + IF(J95&lt;0.75, 0, 4), 0)</f>
        <v>0</v>
      </c>
      <c r="AV95" s="48" t="str" cm="1">
        <f t="array" ref="AV95">IF($AU95&gt;0, INDEX($BA$12:$BP$19, $AU95, $AT95+AV$11), "-")</f>
        <v>-</v>
      </c>
      <c r="AW95" s="48" t="str" cm="1">
        <f t="array" ref="AW95">IF($AU95&gt;0, INDEX($BA$12:$BP$19, $AU95, $AT95+AW$11), "-")</f>
        <v>-</v>
      </c>
      <c r="AX95" s="48" t="str" cm="1">
        <f t="array" ref="AX95">IF($AU95&gt;0, INDEX($BA$12:$BP$19, $AU95, $AT95+AX$11), "-")</f>
        <v>-</v>
      </c>
      <c r="AY95" s="48" t="str" cm="1">
        <f t="array" ref="AY95">IF($AU95&gt;0, INDEX($BA$12:$BP$19, $AU95, $AT95+AY$11), "-")</f>
        <v>-</v>
      </c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</row>
    <row r="96" spans="1:69" s="91" customFormat="1" x14ac:dyDescent="0.2">
      <c r="A96" s="33" cm="1">
        <f t="array" ref="A96">IFERROR(INDEX(Operation, IFERROR(MATCH(#REF!, Y!$B$40:$B$51, 0), IFERROR(MATCH(#REF!, Y!$C$40:$C$51, 0), MATCH(#REF!, Y!$D$40:$D$51, 0))), 4), 0)</f>
        <v>0</v>
      </c>
      <c r="B96" s="105">
        <v>85</v>
      </c>
      <c r="C96" s="7"/>
      <c r="D96" s="7"/>
      <c r="E96" s="30"/>
      <c r="F96" s="8" t="str">
        <f>IF(ISBLANK(E96), "", VLOOKUP(E96, Z!$A$2:$C$4127, 3, FALSE))</f>
        <v/>
      </c>
      <c r="G96" s="60"/>
      <c r="H96" s="124"/>
      <c r="I96" s="34"/>
      <c r="J96" s="40"/>
      <c r="K96" s="41"/>
      <c r="L96" s="40"/>
      <c r="M96" s="31">
        <f t="shared" si="28"/>
        <v>0</v>
      </c>
      <c r="N96" s="7"/>
      <c r="O96" s="7"/>
      <c r="P96" s="61"/>
      <c r="Q96" s="35"/>
      <c r="R96" s="40"/>
      <c r="S96" s="31">
        <f t="shared" si="29"/>
        <v>0</v>
      </c>
      <c r="T96" s="6"/>
      <c r="U96" s="7"/>
      <c r="V96" s="30"/>
      <c r="W96" s="8" t="str">
        <f>IF(ISBLANK(V96), "", VLOOKUP(V96, Z!$A$2:$C$4127, 3, FALSE))</f>
        <v/>
      </c>
      <c r="X96" s="36"/>
      <c r="Y96" s="87">
        <f t="shared" si="30"/>
        <v>0</v>
      </c>
      <c r="Z96" s="21"/>
      <c r="AA96" s="106">
        <f>IFERROR(120*50/#REF!, 0)</f>
        <v>0</v>
      </c>
      <c r="AB96" s="106">
        <f>IFERROR(VLOOKUP($G96, Y!$F$2:$I$10, 4, FALSE), 0)</f>
        <v>0</v>
      </c>
      <c r="AC96" s="107">
        <f>IFERROR(VLOOKUP($G96, Y!$F$2:$I$10, 4, FALSE) * SQRT(H96/3600)/(I96/#REF!)^0.75, 0)</f>
        <v>0</v>
      </c>
      <c r="AD96" s="108">
        <f>IFERROR((88.59*LN(AC96) + 13.46*LN(H96) - 11.48*LN(AC96)^2 -0.85*LN(H96)^2 - 0.38*LN(AC96)*LN(H96) - VLOOKUP(G96,Y!$F$2:$H$10, 2, FALSE) ) / 100, 0)</f>
        <v>0</v>
      </c>
      <c r="AE96" s="109">
        <f t="shared" si="21"/>
        <v>0</v>
      </c>
      <c r="AF96" s="109">
        <f t="shared" si="31"/>
        <v>0</v>
      </c>
      <c r="AG96" s="110">
        <f t="shared" si="22"/>
        <v>0</v>
      </c>
      <c r="AH96" s="111">
        <f t="shared" si="23"/>
        <v>0</v>
      </c>
      <c r="AI96" s="25"/>
      <c r="AJ96" s="108">
        <f>IFERROR(#REF!*#REF!^2 /(#REF!/AA96)^2 +#REF! *#REF! /(#REF!/AA96), 0)</f>
        <v>0</v>
      </c>
      <c r="AK96" s="112">
        <f t="shared" si="24"/>
        <v>0</v>
      </c>
      <c r="AL96" s="112">
        <f t="shared" si="32"/>
        <v>0</v>
      </c>
      <c r="AM96" s="110">
        <f t="shared" si="25"/>
        <v>0</v>
      </c>
      <c r="AN96" s="109">
        <f t="shared" si="33"/>
        <v>0</v>
      </c>
      <c r="AO96" s="25"/>
      <c r="AP96" s="80">
        <f t="shared" si="26"/>
        <v>0</v>
      </c>
      <c r="AQ96" s="80">
        <f t="shared" si="34"/>
        <v>0.25</v>
      </c>
      <c r="AR96" s="25"/>
      <c r="AS96" s="66">
        <f t="shared" si="27"/>
        <v>1</v>
      </c>
      <c r="AT96" s="50">
        <f>IFERROR((MATCH(#REF!, $BA$21:$BA$23, 0) - 1)*4, 0)</f>
        <v>0</v>
      </c>
      <c r="AU96" s="48">
        <f>IFERROR(#REF!/2 + IF(J96&lt;0.75, 0, 4), 0)</f>
        <v>0</v>
      </c>
      <c r="AV96" s="48" t="str" cm="1">
        <f t="array" ref="AV96">IF($AU96&gt;0, INDEX($BA$12:$BP$19, $AU96, $AT96+AV$11), "-")</f>
        <v>-</v>
      </c>
      <c r="AW96" s="48" t="str" cm="1">
        <f t="array" ref="AW96">IF($AU96&gt;0, INDEX($BA$12:$BP$19, $AU96, $AT96+AW$11), "-")</f>
        <v>-</v>
      </c>
      <c r="AX96" s="48" t="str" cm="1">
        <f t="array" ref="AX96">IF($AU96&gt;0, INDEX($BA$12:$BP$19, $AU96, $AT96+AX$11), "-")</f>
        <v>-</v>
      </c>
      <c r="AY96" s="48" t="str" cm="1">
        <f t="array" ref="AY96">IF($AU96&gt;0, INDEX($BA$12:$BP$19, $AU96, $AT96+AY$11), "-")</f>
        <v>-</v>
      </c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</row>
    <row r="97" spans="1:69" s="91" customFormat="1" x14ac:dyDescent="0.2">
      <c r="A97" s="33" cm="1">
        <f t="array" ref="A97">IFERROR(INDEX(Operation, IFERROR(MATCH(#REF!, Y!$B$40:$B$51, 0), IFERROR(MATCH(#REF!, Y!$C$40:$C$51, 0), MATCH(#REF!, Y!$D$40:$D$51, 0))), 4), 0)</f>
        <v>0</v>
      </c>
      <c r="B97" s="105">
        <v>86</v>
      </c>
      <c r="C97" s="7"/>
      <c r="D97" s="7"/>
      <c r="E97" s="30"/>
      <c r="F97" s="8" t="str">
        <f>IF(ISBLANK(E97), "", VLOOKUP(E97, Z!$A$2:$C$4127, 3, FALSE))</f>
        <v/>
      </c>
      <c r="G97" s="60"/>
      <c r="H97" s="124"/>
      <c r="I97" s="34"/>
      <c r="J97" s="40"/>
      <c r="K97" s="41"/>
      <c r="L97" s="40"/>
      <c r="M97" s="31">
        <f t="shared" si="28"/>
        <v>0</v>
      </c>
      <c r="N97" s="7"/>
      <c r="O97" s="7"/>
      <c r="P97" s="61"/>
      <c r="Q97" s="35"/>
      <c r="R97" s="40"/>
      <c r="S97" s="31">
        <f t="shared" si="29"/>
        <v>0</v>
      </c>
      <c r="T97" s="6"/>
      <c r="U97" s="7"/>
      <c r="V97" s="30"/>
      <c r="W97" s="8" t="str">
        <f>IF(ISBLANK(V97), "", VLOOKUP(V97, Z!$A$2:$C$4127, 3, FALSE))</f>
        <v/>
      </c>
      <c r="X97" s="36"/>
      <c r="Y97" s="87">
        <f t="shared" si="30"/>
        <v>0</v>
      </c>
      <c r="Z97" s="21"/>
      <c r="AA97" s="106">
        <f>IFERROR(120*50/#REF!, 0)</f>
        <v>0</v>
      </c>
      <c r="AB97" s="106">
        <f>IFERROR(VLOOKUP($G97, Y!$F$2:$I$10, 4, FALSE), 0)</f>
        <v>0</v>
      </c>
      <c r="AC97" s="107">
        <f>IFERROR(VLOOKUP($G97, Y!$F$2:$I$10, 4, FALSE) * SQRT(H97/3600)/(I97/#REF!)^0.75, 0)</f>
        <v>0</v>
      </c>
      <c r="AD97" s="108">
        <f>IFERROR((88.59*LN(AC97) + 13.46*LN(H97) - 11.48*LN(AC97)^2 -0.85*LN(H97)^2 - 0.38*LN(AC97)*LN(H97) - VLOOKUP(G97,Y!$F$2:$H$10, 2, FALSE) ) / 100, 0)</f>
        <v>0</v>
      </c>
      <c r="AE97" s="109">
        <f t="shared" si="21"/>
        <v>0</v>
      </c>
      <c r="AF97" s="109">
        <f t="shared" si="31"/>
        <v>0</v>
      </c>
      <c r="AG97" s="110">
        <f t="shared" si="22"/>
        <v>0</v>
      </c>
      <c r="AH97" s="111">
        <f t="shared" si="23"/>
        <v>0</v>
      </c>
      <c r="AI97" s="25"/>
      <c r="AJ97" s="108">
        <f>IFERROR(#REF!*#REF!^2 /(#REF!/AA97)^2 +#REF! *#REF! /(#REF!/AA97), 0)</f>
        <v>0</v>
      </c>
      <c r="AK97" s="112">
        <f t="shared" si="24"/>
        <v>0</v>
      </c>
      <c r="AL97" s="112">
        <f t="shared" si="32"/>
        <v>0</v>
      </c>
      <c r="AM97" s="110">
        <f t="shared" si="25"/>
        <v>0</v>
      </c>
      <c r="AN97" s="109">
        <f t="shared" si="33"/>
        <v>0</v>
      </c>
      <c r="AO97" s="25"/>
      <c r="AP97" s="80">
        <f t="shared" si="26"/>
        <v>0</v>
      </c>
      <c r="AQ97" s="80">
        <f t="shared" si="34"/>
        <v>0.25</v>
      </c>
      <c r="AR97" s="25"/>
      <c r="AS97" s="66">
        <f t="shared" si="27"/>
        <v>1</v>
      </c>
      <c r="AT97" s="50">
        <f>IFERROR((MATCH(#REF!, $BA$21:$BA$23, 0) - 1)*4, 0)</f>
        <v>0</v>
      </c>
      <c r="AU97" s="48">
        <f>IFERROR(#REF!/2 + IF(J97&lt;0.75, 0, 4), 0)</f>
        <v>0</v>
      </c>
      <c r="AV97" s="48" t="str" cm="1">
        <f t="array" ref="AV97">IF($AU97&gt;0, INDEX($BA$12:$BP$19, $AU97, $AT97+AV$11), "-")</f>
        <v>-</v>
      </c>
      <c r="AW97" s="48" t="str" cm="1">
        <f t="array" ref="AW97">IF($AU97&gt;0, INDEX($BA$12:$BP$19, $AU97, $AT97+AW$11), "-")</f>
        <v>-</v>
      </c>
      <c r="AX97" s="48" t="str" cm="1">
        <f t="array" ref="AX97">IF($AU97&gt;0, INDEX($BA$12:$BP$19, $AU97, $AT97+AX$11), "-")</f>
        <v>-</v>
      </c>
      <c r="AY97" s="48" t="str" cm="1">
        <f t="array" ref="AY97">IF($AU97&gt;0, INDEX($BA$12:$BP$19, $AU97, $AT97+AY$11), "-")</f>
        <v>-</v>
      </c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</row>
    <row r="98" spans="1:69" s="91" customFormat="1" x14ac:dyDescent="0.2">
      <c r="A98" s="33" cm="1">
        <f t="array" ref="A98">IFERROR(INDEX(Operation, IFERROR(MATCH(#REF!, Y!$B$40:$B$51, 0), IFERROR(MATCH(#REF!, Y!$C$40:$C$51, 0), MATCH(#REF!, Y!$D$40:$D$51, 0))), 4), 0)</f>
        <v>0</v>
      </c>
      <c r="B98" s="105">
        <v>87</v>
      </c>
      <c r="C98" s="7"/>
      <c r="D98" s="7"/>
      <c r="E98" s="30"/>
      <c r="F98" s="8" t="str">
        <f>IF(ISBLANK(E98), "", VLOOKUP(E98, Z!$A$2:$C$4127, 3, FALSE))</f>
        <v/>
      </c>
      <c r="G98" s="60"/>
      <c r="H98" s="124"/>
      <c r="I98" s="34"/>
      <c r="J98" s="40"/>
      <c r="K98" s="41"/>
      <c r="L98" s="40"/>
      <c r="M98" s="31">
        <f t="shared" si="28"/>
        <v>0</v>
      </c>
      <c r="N98" s="7"/>
      <c r="O98" s="7"/>
      <c r="P98" s="61"/>
      <c r="Q98" s="35"/>
      <c r="R98" s="40"/>
      <c r="S98" s="31">
        <f t="shared" si="29"/>
        <v>0</v>
      </c>
      <c r="T98" s="6"/>
      <c r="U98" s="7"/>
      <c r="V98" s="30"/>
      <c r="W98" s="8" t="str">
        <f>IF(ISBLANK(V98), "", VLOOKUP(V98, Z!$A$2:$C$4127, 3, FALSE))</f>
        <v/>
      </c>
      <c r="X98" s="36"/>
      <c r="Y98" s="87">
        <f t="shared" si="30"/>
        <v>0</v>
      </c>
      <c r="Z98" s="21"/>
      <c r="AA98" s="106">
        <f>IFERROR(120*50/#REF!, 0)</f>
        <v>0</v>
      </c>
      <c r="AB98" s="106">
        <f>IFERROR(VLOOKUP($G98, Y!$F$2:$I$10, 4, FALSE), 0)</f>
        <v>0</v>
      </c>
      <c r="AC98" s="107">
        <f>IFERROR(VLOOKUP($G98, Y!$F$2:$I$10, 4, FALSE) * SQRT(H98/3600)/(I98/#REF!)^0.75, 0)</f>
        <v>0</v>
      </c>
      <c r="AD98" s="108">
        <f>IFERROR((88.59*LN(AC98) + 13.46*LN(H98) - 11.48*LN(AC98)^2 -0.85*LN(H98)^2 - 0.38*LN(AC98)*LN(H98) - VLOOKUP(G98,Y!$F$2:$H$10, 2, FALSE) ) / 100, 0)</f>
        <v>0</v>
      </c>
      <c r="AE98" s="109">
        <f t="shared" si="21"/>
        <v>0</v>
      </c>
      <c r="AF98" s="109">
        <f t="shared" si="31"/>
        <v>0</v>
      </c>
      <c r="AG98" s="110">
        <f t="shared" si="22"/>
        <v>0</v>
      </c>
      <c r="AH98" s="111">
        <f t="shared" si="23"/>
        <v>0</v>
      </c>
      <c r="AI98" s="25"/>
      <c r="AJ98" s="108">
        <f>IFERROR(#REF!*#REF!^2 /(#REF!/AA98)^2 +#REF! *#REF! /(#REF!/AA98), 0)</f>
        <v>0</v>
      </c>
      <c r="AK98" s="112">
        <f t="shared" si="24"/>
        <v>0</v>
      </c>
      <c r="AL98" s="112">
        <f t="shared" si="32"/>
        <v>0</v>
      </c>
      <c r="AM98" s="110">
        <f t="shared" si="25"/>
        <v>0</v>
      </c>
      <c r="AN98" s="109">
        <f t="shared" si="33"/>
        <v>0</v>
      </c>
      <c r="AO98" s="25"/>
      <c r="AP98" s="80">
        <f t="shared" si="26"/>
        <v>0</v>
      </c>
      <c r="AQ98" s="80">
        <f t="shared" si="34"/>
        <v>0.25</v>
      </c>
      <c r="AR98" s="25"/>
      <c r="AS98" s="66">
        <f t="shared" si="27"/>
        <v>1</v>
      </c>
      <c r="AT98" s="50">
        <f>IFERROR((MATCH(#REF!, $BA$21:$BA$23, 0) - 1)*4, 0)</f>
        <v>0</v>
      </c>
      <c r="AU98" s="48">
        <f>IFERROR(#REF!/2 + IF(J98&lt;0.75, 0, 4), 0)</f>
        <v>0</v>
      </c>
      <c r="AV98" s="48" t="str" cm="1">
        <f t="array" ref="AV98">IF($AU98&gt;0, INDEX($BA$12:$BP$19, $AU98, $AT98+AV$11), "-")</f>
        <v>-</v>
      </c>
      <c r="AW98" s="48" t="str" cm="1">
        <f t="array" ref="AW98">IF($AU98&gt;0, INDEX($BA$12:$BP$19, $AU98, $AT98+AW$11), "-")</f>
        <v>-</v>
      </c>
      <c r="AX98" s="48" t="str" cm="1">
        <f t="array" ref="AX98">IF($AU98&gt;0, INDEX($BA$12:$BP$19, $AU98, $AT98+AX$11), "-")</f>
        <v>-</v>
      </c>
      <c r="AY98" s="48" t="str" cm="1">
        <f t="array" ref="AY98">IF($AU98&gt;0, INDEX($BA$12:$BP$19, $AU98, $AT98+AY$11), "-")</f>
        <v>-</v>
      </c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</row>
    <row r="99" spans="1:69" s="91" customFormat="1" x14ac:dyDescent="0.2">
      <c r="A99" s="33" cm="1">
        <f t="array" ref="A99">IFERROR(INDEX(Operation, IFERROR(MATCH(#REF!, Y!$B$40:$B$51, 0), IFERROR(MATCH(#REF!, Y!$C$40:$C$51, 0), MATCH(#REF!, Y!$D$40:$D$51, 0))), 4), 0)</f>
        <v>0</v>
      </c>
      <c r="B99" s="105">
        <v>88</v>
      </c>
      <c r="C99" s="7"/>
      <c r="D99" s="7"/>
      <c r="E99" s="30"/>
      <c r="F99" s="8" t="str">
        <f>IF(ISBLANK(E99), "", VLOOKUP(E99, Z!$A$2:$C$4127, 3, FALSE))</f>
        <v/>
      </c>
      <c r="G99" s="60"/>
      <c r="H99" s="124"/>
      <c r="I99" s="34"/>
      <c r="J99" s="40"/>
      <c r="K99" s="41"/>
      <c r="L99" s="40"/>
      <c r="M99" s="31">
        <f t="shared" si="28"/>
        <v>0</v>
      </c>
      <c r="N99" s="7"/>
      <c r="O99" s="7"/>
      <c r="P99" s="61"/>
      <c r="Q99" s="35"/>
      <c r="R99" s="40"/>
      <c r="S99" s="31">
        <f t="shared" si="29"/>
        <v>0</v>
      </c>
      <c r="T99" s="6"/>
      <c r="U99" s="7"/>
      <c r="V99" s="30"/>
      <c r="W99" s="8" t="str">
        <f>IF(ISBLANK(V99), "", VLOOKUP(V99, Z!$A$2:$C$4127, 3, FALSE))</f>
        <v/>
      </c>
      <c r="X99" s="36"/>
      <c r="Y99" s="87">
        <f t="shared" si="30"/>
        <v>0</v>
      </c>
      <c r="Z99" s="21"/>
      <c r="AA99" s="106">
        <f>IFERROR(120*50/#REF!, 0)</f>
        <v>0</v>
      </c>
      <c r="AB99" s="106">
        <f>IFERROR(VLOOKUP($G99, Y!$F$2:$I$10, 4, FALSE), 0)</f>
        <v>0</v>
      </c>
      <c r="AC99" s="107">
        <f>IFERROR(VLOOKUP($G99, Y!$F$2:$I$10, 4, FALSE) * SQRT(H99/3600)/(I99/#REF!)^0.75, 0)</f>
        <v>0</v>
      </c>
      <c r="AD99" s="108">
        <f>IFERROR((88.59*LN(AC99) + 13.46*LN(H99) - 11.48*LN(AC99)^2 -0.85*LN(H99)^2 - 0.38*LN(AC99)*LN(H99) - VLOOKUP(G99,Y!$F$2:$H$10, 2, FALSE) ) / 100, 0)</f>
        <v>0</v>
      </c>
      <c r="AE99" s="109">
        <f t="shared" si="21"/>
        <v>0</v>
      </c>
      <c r="AF99" s="109">
        <f t="shared" si="31"/>
        <v>0</v>
      </c>
      <c r="AG99" s="110">
        <f t="shared" si="22"/>
        <v>0</v>
      </c>
      <c r="AH99" s="111">
        <f t="shared" si="23"/>
        <v>0</v>
      </c>
      <c r="AI99" s="25"/>
      <c r="AJ99" s="108">
        <f>IFERROR(#REF!*#REF!^2 /(#REF!/AA99)^2 +#REF! *#REF! /(#REF!/AA99), 0)</f>
        <v>0</v>
      </c>
      <c r="AK99" s="112">
        <f t="shared" si="24"/>
        <v>0</v>
      </c>
      <c r="AL99" s="112">
        <f t="shared" si="32"/>
        <v>0</v>
      </c>
      <c r="AM99" s="110">
        <f t="shared" si="25"/>
        <v>0</v>
      </c>
      <c r="AN99" s="109">
        <f t="shared" si="33"/>
        <v>0</v>
      </c>
      <c r="AO99" s="25"/>
      <c r="AP99" s="80">
        <f t="shared" si="26"/>
        <v>0</v>
      </c>
      <c r="AQ99" s="80">
        <f t="shared" si="34"/>
        <v>0.25</v>
      </c>
      <c r="AR99" s="25"/>
      <c r="AS99" s="66">
        <f t="shared" si="27"/>
        <v>1</v>
      </c>
      <c r="AT99" s="50">
        <f>IFERROR((MATCH(#REF!, $BA$21:$BA$23, 0) - 1)*4, 0)</f>
        <v>0</v>
      </c>
      <c r="AU99" s="48">
        <f>IFERROR(#REF!/2 + IF(J99&lt;0.75, 0, 4), 0)</f>
        <v>0</v>
      </c>
      <c r="AV99" s="48" t="str" cm="1">
        <f t="array" ref="AV99">IF($AU99&gt;0, INDEX($BA$12:$BP$19, $AU99, $AT99+AV$11), "-")</f>
        <v>-</v>
      </c>
      <c r="AW99" s="48" t="str" cm="1">
        <f t="array" ref="AW99">IF($AU99&gt;0, INDEX($BA$12:$BP$19, $AU99, $AT99+AW$11), "-")</f>
        <v>-</v>
      </c>
      <c r="AX99" s="48" t="str" cm="1">
        <f t="array" ref="AX99">IF($AU99&gt;0, INDEX($BA$12:$BP$19, $AU99, $AT99+AX$11), "-")</f>
        <v>-</v>
      </c>
      <c r="AY99" s="48" t="str" cm="1">
        <f t="array" ref="AY99">IF($AU99&gt;0, INDEX($BA$12:$BP$19, $AU99, $AT99+AY$11), "-")</f>
        <v>-</v>
      </c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</row>
    <row r="100" spans="1:69" s="91" customFormat="1" x14ac:dyDescent="0.2">
      <c r="A100" s="33" cm="1">
        <f t="array" ref="A100">IFERROR(INDEX(Operation, IFERROR(MATCH(#REF!, Y!$B$40:$B$51, 0), IFERROR(MATCH(#REF!, Y!$C$40:$C$51, 0), MATCH(#REF!, Y!$D$40:$D$51, 0))), 4), 0)</f>
        <v>0</v>
      </c>
      <c r="B100" s="105">
        <v>89</v>
      </c>
      <c r="C100" s="7"/>
      <c r="D100" s="7"/>
      <c r="E100" s="30"/>
      <c r="F100" s="8" t="str">
        <f>IF(ISBLANK(E100), "", VLOOKUP(E100, Z!$A$2:$C$4127, 3, FALSE))</f>
        <v/>
      </c>
      <c r="G100" s="60"/>
      <c r="H100" s="124"/>
      <c r="I100" s="34"/>
      <c r="J100" s="40"/>
      <c r="K100" s="41"/>
      <c r="L100" s="40"/>
      <c r="M100" s="31">
        <f t="shared" si="28"/>
        <v>0</v>
      </c>
      <c r="N100" s="7"/>
      <c r="O100" s="7"/>
      <c r="P100" s="61"/>
      <c r="Q100" s="35"/>
      <c r="R100" s="40"/>
      <c r="S100" s="31">
        <f t="shared" si="29"/>
        <v>0</v>
      </c>
      <c r="T100" s="6"/>
      <c r="U100" s="7"/>
      <c r="V100" s="30"/>
      <c r="W100" s="8" t="str">
        <f>IF(ISBLANK(V100), "", VLOOKUP(V100, Z!$A$2:$C$4127, 3, FALSE))</f>
        <v/>
      </c>
      <c r="X100" s="36"/>
      <c r="Y100" s="87">
        <f t="shared" si="30"/>
        <v>0</v>
      </c>
      <c r="Z100" s="21"/>
      <c r="AA100" s="106">
        <f>IFERROR(120*50/#REF!, 0)</f>
        <v>0</v>
      </c>
      <c r="AB100" s="106">
        <f>IFERROR(VLOOKUP($G100, Y!$F$2:$I$10, 4, FALSE), 0)</f>
        <v>0</v>
      </c>
      <c r="AC100" s="107">
        <f>IFERROR(VLOOKUP($G100, Y!$F$2:$I$10, 4, FALSE) * SQRT(H100/3600)/(I100/#REF!)^0.75, 0)</f>
        <v>0</v>
      </c>
      <c r="AD100" s="108">
        <f>IFERROR((88.59*LN(AC100) + 13.46*LN(H100) - 11.48*LN(AC100)^2 -0.85*LN(H100)^2 - 0.38*LN(AC100)*LN(H100) - VLOOKUP(G100,Y!$F$2:$H$10, 2, FALSE) ) / 100, 0)</f>
        <v>0</v>
      </c>
      <c r="AE100" s="109">
        <f t="shared" si="21"/>
        <v>0</v>
      </c>
      <c r="AF100" s="109">
        <f t="shared" si="31"/>
        <v>0</v>
      </c>
      <c r="AG100" s="110">
        <f t="shared" si="22"/>
        <v>0</v>
      </c>
      <c r="AH100" s="111">
        <f t="shared" si="23"/>
        <v>0</v>
      </c>
      <c r="AI100" s="25"/>
      <c r="AJ100" s="108">
        <f>IFERROR(#REF!*#REF!^2 /(#REF!/AA100)^2 +#REF! *#REF! /(#REF!/AA100), 0)</f>
        <v>0</v>
      </c>
      <c r="AK100" s="112">
        <f t="shared" si="24"/>
        <v>0</v>
      </c>
      <c r="AL100" s="112">
        <f t="shared" si="32"/>
        <v>0</v>
      </c>
      <c r="AM100" s="110">
        <f t="shared" si="25"/>
        <v>0</v>
      </c>
      <c r="AN100" s="109">
        <f t="shared" si="33"/>
        <v>0</v>
      </c>
      <c r="AO100" s="25"/>
      <c r="AP100" s="80">
        <f t="shared" si="26"/>
        <v>0</v>
      </c>
      <c r="AQ100" s="80">
        <f t="shared" si="34"/>
        <v>0.25</v>
      </c>
      <c r="AR100" s="25"/>
      <c r="AS100" s="66">
        <f t="shared" si="27"/>
        <v>1</v>
      </c>
      <c r="AT100" s="50">
        <f>IFERROR((MATCH(#REF!, $BA$21:$BA$23, 0) - 1)*4, 0)</f>
        <v>0</v>
      </c>
      <c r="AU100" s="48">
        <f>IFERROR(#REF!/2 + IF(J100&lt;0.75, 0, 4), 0)</f>
        <v>0</v>
      </c>
      <c r="AV100" s="48" t="str" cm="1">
        <f t="array" ref="AV100">IF($AU100&gt;0, INDEX($BA$12:$BP$19, $AU100, $AT100+AV$11), "-")</f>
        <v>-</v>
      </c>
      <c r="AW100" s="48" t="str" cm="1">
        <f t="array" ref="AW100">IF($AU100&gt;0, INDEX($BA$12:$BP$19, $AU100, $AT100+AW$11), "-")</f>
        <v>-</v>
      </c>
      <c r="AX100" s="48" t="str" cm="1">
        <f t="array" ref="AX100">IF($AU100&gt;0, INDEX($BA$12:$BP$19, $AU100, $AT100+AX$11), "-")</f>
        <v>-</v>
      </c>
      <c r="AY100" s="48" t="str" cm="1">
        <f t="array" ref="AY100">IF($AU100&gt;0, INDEX($BA$12:$BP$19, $AU100, $AT100+AY$11), "-")</f>
        <v>-</v>
      </c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</row>
    <row r="101" spans="1:69" s="91" customFormat="1" x14ac:dyDescent="0.2">
      <c r="A101" s="33" cm="1">
        <f t="array" ref="A101">IFERROR(INDEX(Operation, IFERROR(MATCH(#REF!, Y!$B$40:$B$51, 0), IFERROR(MATCH(#REF!, Y!$C$40:$C$51, 0), MATCH(#REF!, Y!$D$40:$D$51, 0))), 4), 0)</f>
        <v>0</v>
      </c>
      <c r="B101" s="105">
        <v>90</v>
      </c>
      <c r="C101" s="7"/>
      <c r="D101" s="7"/>
      <c r="E101" s="30"/>
      <c r="F101" s="8" t="str">
        <f>IF(ISBLANK(E101), "", VLOOKUP(E101, Z!$A$2:$C$4127, 3, FALSE))</f>
        <v/>
      </c>
      <c r="G101" s="60"/>
      <c r="H101" s="124"/>
      <c r="I101" s="34"/>
      <c r="J101" s="40"/>
      <c r="K101" s="41"/>
      <c r="L101" s="40"/>
      <c r="M101" s="31">
        <f t="shared" si="28"/>
        <v>0</v>
      </c>
      <c r="N101" s="7"/>
      <c r="O101" s="7"/>
      <c r="P101" s="61"/>
      <c r="Q101" s="35"/>
      <c r="R101" s="40"/>
      <c r="S101" s="31">
        <f t="shared" si="29"/>
        <v>0</v>
      </c>
      <c r="T101" s="6"/>
      <c r="U101" s="7"/>
      <c r="V101" s="30"/>
      <c r="W101" s="8" t="str">
        <f>IF(ISBLANK(V101), "", VLOOKUP(V101, Z!$A$2:$C$4127, 3, FALSE))</f>
        <v/>
      </c>
      <c r="X101" s="36"/>
      <c r="Y101" s="87">
        <f t="shared" si="30"/>
        <v>0</v>
      </c>
      <c r="Z101" s="21"/>
      <c r="AA101" s="106">
        <f>IFERROR(120*50/#REF!, 0)</f>
        <v>0</v>
      </c>
      <c r="AB101" s="106">
        <f>IFERROR(VLOOKUP($G101, Y!$F$2:$I$10, 4, FALSE), 0)</f>
        <v>0</v>
      </c>
      <c r="AC101" s="107">
        <f>IFERROR(VLOOKUP($G101, Y!$F$2:$I$10, 4, FALSE) * SQRT(H101/3600)/(I101/#REF!)^0.75, 0)</f>
        <v>0</v>
      </c>
      <c r="AD101" s="108">
        <f>IFERROR((88.59*LN(AC101) + 13.46*LN(H101) - 11.48*LN(AC101)^2 -0.85*LN(H101)^2 - 0.38*LN(AC101)*LN(H101) - VLOOKUP(G101,Y!$F$2:$H$10, 2, FALSE) ) / 100, 0)</f>
        <v>0</v>
      </c>
      <c r="AE101" s="109">
        <f t="shared" si="21"/>
        <v>0</v>
      </c>
      <c r="AF101" s="109">
        <f t="shared" si="31"/>
        <v>0</v>
      </c>
      <c r="AG101" s="110">
        <f t="shared" si="22"/>
        <v>0</v>
      </c>
      <c r="AH101" s="111">
        <f t="shared" si="23"/>
        <v>0</v>
      </c>
      <c r="AI101" s="25"/>
      <c r="AJ101" s="108">
        <f>IFERROR(#REF!*#REF!^2 /(#REF!/AA101)^2 +#REF! *#REF! /(#REF!/AA101), 0)</f>
        <v>0</v>
      </c>
      <c r="AK101" s="112">
        <f t="shared" si="24"/>
        <v>0</v>
      </c>
      <c r="AL101" s="112">
        <f t="shared" si="32"/>
        <v>0</v>
      </c>
      <c r="AM101" s="110">
        <f t="shared" si="25"/>
        <v>0</v>
      </c>
      <c r="AN101" s="109">
        <f t="shared" si="33"/>
        <v>0</v>
      </c>
      <c r="AO101" s="25"/>
      <c r="AP101" s="80">
        <f t="shared" si="26"/>
        <v>0</v>
      </c>
      <c r="AQ101" s="80">
        <f t="shared" si="34"/>
        <v>0.25</v>
      </c>
      <c r="AR101" s="25"/>
      <c r="AS101" s="66">
        <f t="shared" si="27"/>
        <v>1</v>
      </c>
      <c r="AT101" s="50">
        <f>IFERROR((MATCH(#REF!, $BA$21:$BA$23, 0) - 1)*4, 0)</f>
        <v>0</v>
      </c>
      <c r="AU101" s="48">
        <f>IFERROR(#REF!/2 + IF(J101&lt;0.75, 0, 4), 0)</f>
        <v>0</v>
      </c>
      <c r="AV101" s="48" t="str" cm="1">
        <f t="array" ref="AV101">IF($AU101&gt;0, INDEX($BA$12:$BP$19, $AU101, $AT101+AV$11), "-")</f>
        <v>-</v>
      </c>
      <c r="AW101" s="48" t="str" cm="1">
        <f t="array" ref="AW101">IF($AU101&gt;0, INDEX($BA$12:$BP$19, $AU101, $AT101+AW$11), "-")</f>
        <v>-</v>
      </c>
      <c r="AX101" s="48" t="str" cm="1">
        <f t="array" ref="AX101">IF($AU101&gt;0, INDEX($BA$12:$BP$19, $AU101, $AT101+AX$11), "-")</f>
        <v>-</v>
      </c>
      <c r="AY101" s="48" t="str" cm="1">
        <f t="array" ref="AY101">IF($AU101&gt;0, INDEX($BA$12:$BP$19, $AU101, $AT101+AY$11), "-")</f>
        <v>-</v>
      </c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</row>
    <row r="102" spans="1:69" s="91" customFormat="1" x14ac:dyDescent="0.2">
      <c r="A102" s="33" cm="1">
        <f t="array" ref="A102">IFERROR(INDEX(Operation, IFERROR(MATCH(#REF!, Y!$B$40:$B$51, 0), IFERROR(MATCH(#REF!, Y!$C$40:$C$51, 0), MATCH(#REF!, Y!$D$40:$D$51, 0))), 4), 0)</f>
        <v>0</v>
      </c>
      <c r="B102" s="105">
        <v>91</v>
      </c>
      <c r="C102" s="7"/>
      <c r="D102" s="7"/>
      <c r="E102" s="30"/>
      <c r="F102" s="8" t="str">
        <f>IF(ISBLANK(E102), "", VLOOKUP(E102, Z!$A$2:$C$4127, 3, FALSE))</f>
        <v/>
      </c>
      <c r="G102" s="60"/>
      <c r="H102" s="124"/>
      <c r="I102" s="34"/>
      <c r="J102" s="40"/>
      <c r="K102" s="41"/>
      <c r="L102" s="40"/>
      <c r="M102" s="31">
        <f t="shared" si="28"/>
        <v>0</v>
      </c>
      <c r="N102" s="7"/>
      <c r="O102" s="7"/>
      <c r="P102" s="61"/>
      <c r="Q102" s="35"/>
      <c r="R102" s="40"/>
      <c r="S102" s="31">
        <f t="shared" si="29"/>
        <v>0</v>
      </c>
      <c r="T102" s="6"/>
      <c r="U102" s="7"/>
      <c r="V102" s="30"/>
      <c r="W102" s="8" t="str">
        <f>IF(ISBLANK(V102), "", VLOOKUP(V102, Z!$A$2:$C$4127, 3, FALSE))</f>
        <v/>
      </c>
      <c r="X102" s="36"/>
      <c r="Y102" s="87">
        <f t="shared" si="30"/>
        <v>0</v>
      </c>
      <c r="Z102" s="21"/>
      <c r="AA102" s="106">
        <f>IFERROR(120*50/#REF!, 0)</f>
        <v>0</v>
      </c>
      <c r="AB102" s="106">
        <f>IFERROR(VLOOKUP($G102, Y!$F$2:$I$10, 4, FALSE), 0)</f>
        <v>0</v>
      </c>
      <c r="AC102" s="107">
        <f>IFERROR(VLOOKUP($G102, Y!$F$2:$I$10, 4, FALSE) * SQRT(H102/3600)/(I102/#REF!)^0.75, 0)</f>
        <v>0</v>
      </c>
      <c r="AD102" s="108">
        <f>IFERROR((88.59*LN(AC102) + 13.46*LN(H102) - 11.48*LN(AC102)^2 -0.85*LN(H102)^2 - 0.38*LN(AC102)*LN(H102) - VLOOKUP(G102,Y!$F$2:$H$10, 2, FALSE) ) / 100, 0)</f>
        <v>0</v>
      </c>
      <c r="AE102" s="109">
        <f t="shared" si="21"/>
        <v>0</v>
      </c>
      <c r="AF102" s="109">
        <f t="shared" si="31"/>
        <v>0</v>
      </c>
      <c r="AG102" s="110">
        <f t="shared" si="22"/>
        <v>0</v>
      </c>
      <c r="AH102" s="111">
        <f t="shared" si="23"/>
        <v>0</v>
      </c>
      <c r="AI102" s="25"/>
      <c r="AJ102" s="108">
        <f>IFERROR(#REF!*#REF!^2 /(#REF!/AA102)^2 +#REF! *#REF! /(#REF!/AA102), 0)</f>
        <v>0</v>
      </c>
      <c r="AK102" s="112">
        <f t="shared" si="24"/>
        <v>0</v>
      </c>
      <c r="AL102" s="112">
        <f t="shared" si="32"/>
        <v>0</v>
      </c>
      <c r="AM102" s="110">
        <f t="shared" si="25"/>
        <v>0</v>
      </c>
      <c r="AN102" s="109">
        <f t="shared" si="33"/>
        <v>0</v>
      </c>
      <c r="AO102" s="25"/>
      <c r="AP102" s="80">
        <f t="shared" si="26"/>
        <v>0</v>
      </c>
      <c r="AQ102" s="80">
        <f t="shared" si="34"/>
        <v>0.25</v>
      </c>
      <c r="AR102" s="25"/>
      <c r="AS102" s="66">
        <f t="shared" si="27"/>
        <v>1</v>
      </c>
      <c r="AT102" s="50">
        <f>IFERROR((MATCH(#REF!, $BA$21:$BA$23, 0) - 1)*4, 0)</f>
        <v>0</v>
      </c>
      <c r="AU102" s="48">
        <f>IFERROR(#REF!/2 + IF(J102&lt;0.75, 0, 4), 0)</f>
        <v>0</v>
      </c>
      <c r="AV102" s="48" t="str" cm="1">
        <f t="array" ref="AV102">IF($AU102&gt;0, INDEX($BA$12:$BP$19, $AU102, $AT102+AV$11), "-")</f>
        <v>-</v>
      </c>
      <c r="AW102" s="48" t="str" cm="1">
        <f t="array" ref="AW102">IF($AU102&gt;0, INDEX($BA$12:$BP$19, $AU102, $AT102+AW$11), "-")</f>
        <v>-</v>
      </c>
      <c r="AX102" s="48" t="str" cm="1">
        <f t="array" ref="AX102">IF($AU102&gt;0, INDEX($BA$12:$BP$19, $AU102, $AT102+AX$11), "-")</f>
        <v>-</v>
      </c>
      <c r="AY102" s="48" t="str" cm="1">
        <f t="array" ref="AY102">IF($AU102&gt;0, INDEX($BA$12:$BP$19, $AU102, $AT102+AY$11), "-")</f>
        <v>-</v>
      </c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</row>
    <row r="103" spans="1:69" s="91" customFormat="1" x14ac:dyDescent="0.2">
      <c r="A103" s="33" cm="1">
        <f t="array" ref="A103">IFERROR(INDEX(Operation, IFERROR(MATCH(#REF!, Y!$B$40:$B$51, 0), IFERROR(MATCH(#REF!, Y!$C$40:$C$51, 0), MATCH(#REF!, Y!$D$40:$D$51, 0))), 4), 0)</f>
        <v>0</v>
      </c>
      <c r="B103" s="105">
        <v>92</v>
      </c>
      <c r="C103" s="7"/>
      <c r="D103" s="7"/>
      <c r="E103" s="30"/>
      <c r="F103" s="8" t="str">
        <f>IF(ISBLANK(E103), "", VLOOKUP(E103, Z!$A$2:$C$4127, 3, FALSE))</f>
        <v/>
      </c>
      <c r="G103" s="60"/>
      <c r="H103" s="124"/>
      <c r="I103" s="34"/>
      <c r="J103" s="40"/>
      <c r="K103" s="41"/>
      <c r="L103" s="40"/>
      <c r="M103" s="31">
        <f t="shared" si="28"/>
        <v>0</v>
      </c>
      <c r="N103" s="7"/>
      <c r="O103" s="7"/>
      <c r="P103" s="61"/>
      <c r="Q103" s="35"/>
      <c r="R103" s="40"/>
      <c r="S103" s="31">
        <f t="shared" si="29"/>
        <v>0</v>
      </c>
      <c r="T103" s="6"/>
      <c r="U103" s="7"/>
      <c r="V103" s="30"/>
      <c r="W103" s="8" t="str">
        <f>IF(ISBLANK(V103), "", VLOOKUP(V103, Z!$A$2:$C$4127, 3, FALSE))</f>
        <v/>
      </c>
      <c r="X103" s="36"/>
      <c r="Y103" s="87">
        <f t="shared" si="30"/>
        <v>0</v>
      </c>
      <c r="Z103" s="21"/>
      <c r="AA103" s="106">
        <f>IFERROR(120*50/#REF!, 0)</f>
        <v>0</v>
      </c>
      <c r="AB103" s="106">
        <f>IFERROR(VLOOKUP($G103, Y!$F$2:$I$10, 4, FALSE), 0)</f>
        <v>0</v>
      </c>
      <c r="AC103" s="107">
        <f>IFERROR(VLOOKUP($G103, Y!$F$2:$I$10, 4, FALSE) * SQRT(H103/3600)/(I103/#REF!)^0.75, 0)</f>
        <v>0</v>
      </c>
      <c r="AD103" s="108">
        <f>IFERROR((88.59*LN(AC103) + 13.46*LN(H103) - 11.48*LN(AC103)^2 -0.85*LN(H103)^2 - 0.38*LN(AC103)*LN(H103) - VLOOKUP(G103,Y!$F$2:$H$10, 2, FALSE) ) / 100, 0)</f>
        <v>0</v>
      </c>
      <c r="AE103" s="109">
        <f t="shared" si="21"/>
        <v>0</v>
      </c>
      <c r="AF103" s="109">
        <f t="shared" si="31"/>
        <v>0</v>
      </c>
      <c r="AG103" s="110">
        <f t="shared" si="22"/>
        <v>0</v>
      </c>
      <c r="AH103" s="111">
        <f t="shared" si="23"/>
        <v>0</v>
      </c>
      <c r="AI103" s="25"/>
      <c r="AJ103" s="108">
        <f>IFERROR(#REF!*#REF!^2 /(#REF!/AA103)^2 +#REF! *#REF! /(#REF!/AA103), 0)</f>
        <v>0</v>
      </c>
      <c r="AK103" s="112">
        <f t="shared" si="24"/>
        <v>0</v>
      </c>
      <c r="AL103" s="112">
        <f t="shared" si="32"/>
        <v>0</v>
      </c>
      <c r="AM103" s="110">
        <f t="shared" si="25"/>
        <v>0</v>
      </c>
      <c r="AN103" s="109">
        <f t="shared" si="33"/>
        <v>0</v>
      </c>
      <c r="AO103" s="25"/>
      <c r="AP103" s="80">
        <f t="shared" si="26"/>
        <v>0</v>
      </c>
      <c r="AQ103" s="80">
        <f t="shared" si="34"/>
        <v>0.25</v>
      </c>
      <c r="AR103" s="25"/>
      <c r="AS103" s="66">
        <f t="shared" si="27"/>
        <v>1</v>
      </c>
      <c r="AT103" s="50">
        <f>IFERROR((MATCH(#REF!, $BA$21:$BA$23, 0) - 1)*4, 0)</f>
        <v>0</v>
      </c>
      <c r="AU103" s="48">
        <f>IFERROR(#REF!/2 + IF(J103&lt;0.75, 0, 4), 0)</f>
        <v>0</v>
      </c>
      <c r="AV103" s="48" t="str" cm="1">
        <f t="array" ref="AV103">IF($AU103&gt;0, INDEX($BA$12:$BP$19, $AU103, $AT103+AV$11), "-")</f>
        <v>-</v>
      </c>
      <c r="AW103" s="48" t="str" cm="1">
        <f t="array" ref="AW103">IF($AU103&gt;0, INDEX($BA$12:$BP$19, $AU103, $AT103+AW$11), "-")</f>
        <v>-</v>
      </c>
      <c r="AX103" s="48" t="str" cm="1">
        <f t="array" ref="AX103">IF($AU103&gt;0, INDEX($BA$12:$BP$19, $AU103, $AT103+AX$11), "-")</f>
        <v>-</v>
      </c>
      <c r="AY103" s="48" t="str" cm="1">
        <f t="array" ref="AY103">IF($AU103&gt;0, INDEX($BA$12:$BP$19, $AU103, $AT103+AY$11), "-")</f>
        <v>-</v>
      </c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</row>
    <row r="104" spans="1:69" s="91" customFormat="1" x14ac:dyDescent="0.2">
      <c r="A104" s="33" cm="1">
        <f t="array" ref="A104">IFERROR(INDEX(Operation, IFERROR(MATCH(#REF!, Y!$B$40:$B$51, 0), IFERROR(MATCH(#REF!, Y!$C$40:$C$51, 0), MATCH(#REF!, Y!$D$40:$D$51, 0))), 4), 0)</f>
        <v>0</v>
      </c>
      <c r="B104" s="105">
        <v>93</v>
      </c>
      <c r="C104" s="7"/>
      <c r="D104" s="7"/>
      <c r="E104" s="30"/>
      <c r="F104" s="8" t="str">
        <f>IF(ISBLANK(E104), "", VLOOKUP(E104, Z!$A$2:$C$4127, 3, FALSE))</f>
        <v/>
      </c>
      <c r="G104" s="60"/>
      <c r="H104" s="124"/>
      <c r="I104" s="34"/>
      <c r="J104" s="40"/>
      <c r="K104" s="41"/>
      <c r="L104" s="40"/>
      <c r="M104" s="31">
        <f t="shared" si="28"/>
        <v>0</v>
      </c>
      <c r="N104" s="7"/>
      <c r="O104" s="7"/>
      <c r="P104" s="61"/>
      <c r="Q104" s="35"/>
      <c r="R104" s="40"/>
      <c r="S104" s="31">
        <f t="shared" si="29"/>
        <v>0</v>
      </c>
      <c r="T104" s="6"/>
      <c r="U104" s="7"/>
      <c r="V104" s="30"/>
      <c r="W104" s="8" t="str">
        <f>IF(ISBLANK(V104), "", VLOOKUP(V104, Z!$A$2:$C$4127, 3, FALSE))</f>
        <v/>
      </c>
      <c r="X104" s="36"/>
      <c r="Y104" s="87">
        <f t="shared" si="30"/>
        <v>0</v>
      </c>
      <c r="Z104" s="21"/>
      <c r="AA104" s="106">
        <f>IFERROR(120*50/#REF!, 0)</f>
        <v>0</v>
      </c>
      <c r="AB104" s="106">
        <f>IFERROR(VLOOKUP($G104, Y!$F$2:$I$10, 4, FALSE), 0)</f>
        <v>0</v>
      </c>
      <c r="AC104" s="107">
        <f>IFERROR(VLOOKUP($G104, Y!$F$2:$I$10, 4, FALSE) * SQRT(H104/3600)/(I104/#REF!)^0.75, 0)</f>
        <v>0</v>
      </c>
      <c r="AD104" s="108">
        <f>IFERROR((88.59*LN(AC104) + 13.46*LN(H104) - 11.48*LN(AC104)^2 -0.85*LN(H104)^2 - 0.38*LN(AC104)*LN(H104) - VLOOKUP(G104,Y!$F$2:$H$10, 2, FALSE) ) / 100, 0)</f>
        <v>0</v>
      </c>
      <c r="AE104" s="109">
        <f t="shared" si="21"/>
        <v>0</v>
      </c>
      <c r="AF104" s="109">
        <f t="shared" si="31"/>
        <v>0</v>
      </c>
      <c r="AG104" s="110">
        <f t="shared" si="22"/>
        <v>0</v>
      </c>
      <c r="AH104" s="111">
        <f t="shared" si="23"/>
        <v>0</v>
      </c>
      <c r="AI104" s="25"/>
      <c r="AJ104" s="108">
        <f>IFERROR(#REF!*#REF!^2 /(#REF!/AA104)^2 +#REF! *#REF! /(#REF!/AA104), 0)</f>
        <v>0</v>
      </c>
      <c r="AK104" s="112">
        <f t="shared" si="24"/>
        <v>0</v>
      </c>
      <c r="AL104" s="112">
        <f t="shared" si="32"/>
        <v>0</v>
      </c>
      <c r="AM104" s="110">
        <f t="shared" si="25"/>
        <v>0</v>
      </c>
      <c r="AN104" s="109">
        <f t="shared" si="33"/>
        <v>0</v>
      </c>
      <c r="AO104" s="25"/>
      <c r="AP104" s="80">
        <f t="shared" si="26"/>
        <v>0</v>
      </c>
      <c r="AQ104" s="80">
        <f t="shared" si="34"/>
        <v>0.25</v>
      </c>
      <c r="AR104" s="25"/>
      <c r="AS104" s="66">
        <f t="shared" si="27"/>
        <v>1</v>
      </c>
      <c r="AT104" s="50">
        <f>IFERROR((MATCH(#REF!, $BA$21:$BA$23, 0) - 1)*4, 0)</f>
        <v>0</v>
      </c>
      <c r="AU104" s="48">
        <f>IFERROR(#REF!/2 + IF(J104&lt;0.75, 0, 4), 0)</f>
        <v>0</v>
      </c>
      <c r="AV104" s="48" t="str" cm="1">
        <f t="array" ref="AV104">IF($AU104&gt;0, INDEX($BA$12:$BP$19, $AU104, $AT104+AV$11), "-")</f>
        <v>-</v>
      </c>
      <c r="AW104" s="48" t="str" cm="1">
        <f t="array" ref="AW104">IF($AU104&gt;0, INDEX($BA$12:$BP$19, $AU104, $AT104+AW$11), "-")</f>
        <v>-</v>
      </c>
      <c r="AX104" s="48" t="str" cm="1">
        <f t="array" ref="AX104">IF($AU104&gt;0, INDEX($BA$12:$BP$19, $AU104, $AT104+AX$11), "-")</f>
        <v>-</v>
      </c>
      <c r="AY104" s="48" t="str" cm="1">
        <f t="array" ref="AY104">IF($AU104&gt;0, INDEX($BA$12:$BP$19, $AU104, $AT104+AY$11), "-")</f>
        <v>-</v>
      </c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</row>
    <row r="105" spans="1:69" s="91" customFormat="1" x14ac:dyDescent="0.2">
      <c r="A105" s="33" cm="1">
        <f t="array" ref="A105">IFERROR(INDEX(Operation, IFERROR(MATCH(#REF!, Y!$B$40:$B$51, 0), IFERROR(MATCH(#REF!, Y!$C$40:$C$51, 0), MATCH(#REF!, Y!$D$40:$D$51, 0))), 4), 0)</f>
        <v>0</v>
      </c>
      <c r="B105" s="105">
        <v>94</v>
      </c>
      <c r="C105" s="7"/>
      <c r="D105" s="7"/>
      <c r="E105" s="30"/>
      <c r="F105" s="8" t="str">
        <f>IF(ISBLANK(E105), "", VLOOKUP(E105, Z!$A$2:$C$4127, 3, FALSE))</f>
        <v/>
      </c>
      <c r="G105" s="60"/>
      <c r="H105" s="124"/>
      <c r="I105" s="34"/>
      <c r="J105" s="40"/>
      <c r="K105" s="41"/>
      <c r="L105" s="40"/>
      <c r="M105" s="31">
        <f t="shared" si="28"/>
        <v>0</v>
      </c>
      <c r="N105" s="7"/>
      <c r="O105" s="7"/>
      <c r="P105" s="61"/>
      <c r="Q105" s="35"/>
      <c r="R105" s="40"/>
      <c r="S105" s="31">
        <f t="shared" si="29"/>
        <v>0</v>
      </c>
      <c r="T105" s="6"/>
      <c r="U105" s="7"/>
      <c r="V105" s="30"/>
      <c r="W105" s="8" t="str">
        <f>IF(ISBLANK(V105), "", VLOOKUP(V105, Z!$A$2:$C$4127, 3, FALSE))</f>
        <v/>
      </c>
      <c r="X105" s="36"/>
      <c r="Y105" s="87">
        <f t="shared" si="30"/>
        <v>0</v>
      </c>
      <c r="Z105" s="21"/>
      <c r="AA105" s="106">
        <f>IFERROR(120*50/#REF!, 0)</f>
        <v>0</v>
      </c>
      <c r="AB105" s="106">
        <f>IFERROR(VLOOKUP($G105, Y!$F$2:$I$10, 4, FALSE), 0)</f>
        <v>0</v>
      </c>
      <c r="AC105" s="107">
        <f>IFERROR(VLOOKUP($G105, Y!$F$2:$I$10, 4, FALSE) * SQRT(H105/3600)/(I105/#REF!)^0.75, 0)</f>
        <v>0</v>
      </c>
      <c r="AD105" s="108">
        <f>IFERROR((88.59*LN(AC105) + 13.46*LN(H105) - 11.48*LN(AC105)^2 -0.85*LN(H105)^2 - 0.38*LN(AC105)*LN(H105) - VLOOKUP(G105,Y!$F$2:$H$10, 2, FALSE) ) / 100, 0)</f>
        <v>0</v>
      </c>
      <c r="AE105" s="109">
        <f t="shared" si="21"/>
        <v>0</v>
      </c>
      <c r="AF105" s="109">
        <f t="shared" si="31"/>
        <v>0</v>
      </c>
      <c r="AG105" s="110">
        <f t="shared" si="22"/>
        <v>0</v>
      </c>
      <c r="AH105" s="111">
        <f t="shared" si="23"/>
        <v>0</v>
      </c>
      <c r="AI105" s="25"/>
      <c r="AJ105" s="108">
        <f>IFERROR(#REF!*#REF!^2 /(#REF!/AA105)^2 +#REF! *#REF! /(#REF!/AA105), 0)</f>
        <v>0</v>
      </c>
      <c r="AK105" s="112">
        <f t="shared" si="24"/>
        <v>0</v>
      </c>
      <c r="AL105" s="112">
        <f t="shared" si="32"/>
        <v>0</v>
      </c>
      <c r="AM105" s="110">
        <f t="shared" si="25"/>
        <v>0</v>
      </c>
      <c r="AN105" s="109">
        <f t="shared" si="33"/>
        <v>0</v>
      </c>
      <c r="AO105" s="25"/>
      <c r="AP105" s="80">
        <f t="shared" si="26"/>
        <v>0</v>
      </c>
      <c r="AQ105" s="80">
        <f t="shared" si="34"/>
        <v>0.25</v>
      </c>
      <c r="AR105" s="25"/>
      <c r="AS105" s="66">
        <f t="shared" si="27"/>
        <v>1</v>
      </c>
      <c r="AT105" s="50">
        <f>IFERROR((MATCH(#REF!, $BA$21:$BA$23, 0) - 1)*4, 0)</f>
        <v>0</v>
      </c>
      <c r="AU105" s="48">
        <f>IFERROR(#REF!/2 + IF(J105&lt;0.75, 0, 4), 0)</f>
        <v>0</v>
      </c>
      <c r="AV105" s="48" t="str" cm="1">
        <f t="array" ref="AV105">IF($AU105&gt;0, INDEX($BA$12:$BP$19, $AU105, $AT105+AV$11), "-")</f>
        <v>-</v>
      </c>
      <c r="AW105" s="48" t="str" cm="1">
        <f t="array" ref="AW105">IF($AU105&gt;0, INDEX($BA$12:$BP$19, $AU105, $AT105+AW$11), "-")</f>
        <v>-</v>
      </c>
      <c r="AX105" s="48" t="str" cm="1">
        <f t="array" ref="AX105">IF($AU105&gt;0, INDEX($BA$12:$BP$19, $AU105, $AT105+AX$11), "-")</f>
        <v>-</v>
      </c>
      <c r="AY105" s="48" t="str" cm="1">
        <f t="array" ref="AY105">IF($AU105&gt;0, INDEX($BA$12:$BP$19, $AU105, $AT105+AY$11), "-")</f>
        <v>-</v>
      </c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</row>
    <row r="106" spans="1:69" s="91" customFormat="1" x14ac:dyDescent="0.2">
      <c r="A106" s="33" cm="1">
        <f t="array" ref="A106">IFERROR(INDEX(Operation, IFERROR(MATCH(#REF!, Y!$B$40:$B$51, 0), IFERROR(MATCH(#REF!, Y!$C$40:$C$51, 0), MATCH(#REF!, Y!$D$40:$D$51, 0))), 4), 0)</f>
        <v>0</v>
      </c>
      <c r="B106" s="105">
        <v>95</v>
      </c>
      <c r="C106" s="7"/>
      <c r="D106" s="7"/>
      <c r="E106" s="30"/>
      <c r="F106" s="8" t="str">
        <f>IF(ISBLANK(E106), "", VLOOKUP(E106, Z!$A$2:$C$4127, 3, FALSE))</f>
        <v/>
      </c>
      <c r="G106" s="60"/>
      <c r="H106" s="124"/>
      <c r="I106" s="34"/>
      <c r="J106" s="40"/>
      <c r="K106" s="41"/>
      <c r="L106" s="40"/>
      <c r="M106" s="31">
        <f t="shared" si="28"/>
        <v>0</v>
      </c>
      <c r="N106" s="7"/>
      <c r="O106" s="7"/>
      <c r="P106" s="61"/>
      <c r="Q106" s="35"/>
      <c r="R106" s="40"/>
      <c r="S106" s="31">
        <f t="shared" si="29"/>
        <v>0</v>
      </c>
      <c r="T106" s="6"/>
      <c r="U106" s="7"/>
      <c r="V106" s="30"/>
      <c r="W106" s="8" t="str">
        <f>IF(ISBLANK(V106), "", VLOOKUP(V106, Z!$A$2:$C$4127, 3, FALSE))</f>
        <v/>
      </c>
      <c r="X106" s="36"/>
      <c r="Y106" s="87">
        <f t="shared" si="30"/>
        <v>0</v>
      </c>
      <c r="Z106" s="21"/>
      <c r="AA106" s="106">
        <f>IFERROR(120*50/#REF!, 0)</f>
        <v>0</v>
      </c>
      <c r="AB106" s="106">
        <f>IFERROR(VLOOKUP($G106, Y!$F$2:$I$10, 4, FALSE), 0)</f>
        <v>0</v>
      </c>
      <c r="AC106" s="107">
        <f>IFERROR(VLOOKUP($G106, Y!$F$2:$I$10, 4, FALSE) * SQRT(H106/3600)/(I106/#REF!)^0.75, 0)</f>
        <v>0</v>
      </c>
      <c r="AD106" s="108">
        <f>IFERROR((88.59*LN(AC106) + 13.46*LN(H106) - 11.48*LN(AC106)^2 -0.85*LN(H106)^2 - 0.38*LN(AC106)*LN(H106) - VLOOKUP(G106,Y!$F$2:$H$10, 2, FALSE) ) / 100, 0)</f>
        <v>0</v>
      </c>
      <c r="AE106" s="109">
        <f t="shared" si="21"/>
        <v>0</v>
      </c>
      <c r="AF106" s="109">
        <f t="shared" si="31"/>
        <v>0</v>
      </c>
      <c r="AG106" s="110">
        <f t="shared" si="22"/>
        <v>0</v>
      </c>
      <c r="AH106" s="111">
        <f t="shared" si="23"/>
        <v>0</v>
      </c>
      <c r="AI106" s="25"/>
      <c r="AJ106" s="108">
        <f>IFERROR(#REF!*#REF!^2 /(#REF!/AA106)^2 +#REF! *#REF! /(#REF!/AA106), 0)</f>
        <v>0</v>
      </c>
      <c r="AK106" s="112">
        <f t="shared" si="24"/>
        <v>0</v>
      </c>
      <c r="AL106" s="112">
        <f t="shared" si="32"/>
        <v>0</v>
      </c>
      <c r="AM106" s="110">
        <f t="shared" si="25"/>
        <v>0</v>
      </c>
      <c r="AN106" s="109">
        <f t="shared" si="33"/>
        <v>0</v>
      </c>
      <c r="AO106" s="25"/>
      <c r="AP106" s="80">
        <f t="shared" si="26"/>
        <v>0</v>
      </c>
      <c r="AQ106" s="80">
        <f t="shared" si="34"/>
        <v>0.25</v>
      </c>
      <c r="AR106" s="25"/>
      <c r="AS106" s="66">
        <f t="shared" si="27"/>
        <v>1</v>
      </c>
      <c r="AT106" s="50">
        <f>IFERROR((MATCH(#REF!, $BA$21:$BA$23, 0) - 1)*4, 0)</f>
        <v>0</v>
      </c>
      <c r="AU106" s="48">
        <f>IFERROR(#REF!/2 + IF(J106&lt;0.75, 0, 4), 0)</f>
        <v>0</v>
      </c>
      <c r="AV106" s="48" t="str" cm="1">
        <f t="array" ref="AV106">IF($AU106&gt;0, INDEX($BA$12:$BP$19, $AU106, $AT106+AV$11), "-")</f>
        <v>-</v>
      </c>
      <c r="AW106" s="48" t="str" cm="1">
        <f t="array" ref="AW106">IF($AU106&gt;0, INDEX($BA$12:$BP$19, $AU106, $AT106+AW$11), "-")</f>
        <v>-</v>
      </c>
      <c r="AX106" s="48" t="str" cm="1">
        <f t="array" ref="AX106">IF($AU106&gt;0, INDEX($BA$12:$BP$19, $AU106, $AT106+AX$11), "-")</f>
        <v>-</v>
      </c>
      <c r="AY106" s="48" t="str" cm="1">
        <f t="array" ref="AY106">IF($AU106&gt;0, INDEX($BA$12:$BP$19, $AU106, $AT106+AY$11), "-")</f>
        <v>-</v>
      </c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</row>
    <row r="107" spans="1:69" s="91" customFormat="1" x14ac:dyDescent="0.2">
      <c r="A107" s="33" cm="1">
        <f t="array" ref="A107">IFERROR(INDEX(Operation, IFERROR(MATCH(#REF!, Y!$B$40:$B$51, 0), IFERROR(MATCH(#REF!, Y!$C$40:$C$51, 0), MATCH(#REF!, Y!$D$40:$D$51, 0))), 4), 0)</f>
        <v>0</v>
      </c>
      <c r="B107" s="105">
        <v>96</v>
      </c>
      <c r="C107" s="7"/>
      <c r="D107" s="7"/>
      <c r="E107" s="30"/>
      <c r="F107" s="8" t="str">
        <f>IF(ISBLANK(E107), "", VLOOKUP(E107, Z!$A$2:$C$4127, 3, FALSE))</f>
        <v/>
      </c>
      <c r="G107" s="60"/>
      <c r="H107" s="124"/>
      <c r="I107" s="34"/>
      <c r="J107" s="40"/>
      <c r="K107" s="41"/>
      <c r="L107" s="40"/>
      <c r="M107" s="31">
        <f t="shared" si="28"/>
        <v>0</v>
      </c>
      <c r="N107" s="7"/>
      <c r="O107" s="7"/>
      <c r="P107" s="61"/>
      <c r="Q107" s="35"/>
      <c r="R107" s="40"/>
      <c r="S107" s="31">
        <f t="shared" si="29"/>
        <v>0</v>
      </c>
      <c r="T107" s="6"/>
      <c r="U107" s="7"/>
      <c r="V107" s="30"/>
      <c r="W107" s="8" t="str">
        <f>IF(ISBLANK(V107), "", VLOOKUP(V107, Z!$A$2:$C$4127, 3, FALSE))</f>
        <v/>
      </c>
      <c r="X107" s="36"/>
      <c r="Y107" s="87">
        <f t="shared" si="30"/>
        <v>0</v>
      </c>
      <c r="Z107" s="21"/>
      <c r="AA107" s="106">
        <f>IFERROR(120*50/#REF!, 0)</f>
        <v>0</v>
      </c>
      <c r="AB107" s="106">
        <f>IFERROR(VLOOKUP($G107, Y!$F$2:$I$10, 4, FALSE), 0)</f>
        <v>0</v>
      </c>
      <c r="AC107" s="107">
        <f>IFERROR(VLOOKUP($G107, Y!$F$2:$I$10, 4, FALSE) * SQRT(H107/3600)/(I107/#REF!)^0.75, 0)</f>
        <v>0</v>
      </c>
      <c r="AD107" s="108">
        <f>IFERROR((88.59*LN(AC107) + 13.46*LN(H107) - 11.48*LN(AC107)^2 -0.85*LN(H107)^2 - 0.38*LN(AC107)*LN(H107) - VLOOKUP(G107,Y!$F$2:$H$10, 2, FALSE) ) / 100, 0)</f>
        <v>0</v>
      </c>
      <c r="AE107" s="109">
        <f t="shared" si="21"/>
        <v>0</v>
      </c>
      <c r="AF107" s="109">
        <f t="shared" si="31"/>
        <v>0</v>
      </c>
      <c r="AG107" s="110">
        <f t="shared" si="22"/>
        <v>0</v>
      </c>
      <c r="AH107" s="111">
        <f t="shared" si="23"/>
        <v>0</v>
      </c>
      <c r="AI107" s="25"/>
      <c r="AJ107" s="108">
        <f>IFERROR(#REF!*#REF!^2 /(#REF!/AA107)^2 +#REF! *#REF! /(#REF!/AA107), 0)</f>
        <v>0</v>
      </c>
      <c r="AK107" s="112">
        <f t="shared" si="24"/>
        <v>0</v>
      </c>
      <c r="AL107" s="112">
        <f t="shared" si="32"/>
        <v>0</v>
      </c>
      <c r="AM107" s="110">
        <f t="shared" si="25"/>
        <v>0</v>
      </c>
      <c r="AN107" s="109">
        <f t="shared" si="33"/>
        <v>0</v>
      </c>
      <c r="AO107" s="25"/>
      <c r="AP107" s="80">
        <f t="shared" si="26"/>
        <v>0</v>
      </c>
      <c r="AQ107" s="80">
        <f t="shared" si="34"/>
        <v>0.25</v>
      </c>
      <c r="AR107" s="25"/>
      <c r="AS107" s="66">
        <f t="shared" si="27"/>
        <v>1</v>
      </c>
      <c r="AT107" s="50">
        <f>IFERROR((MATCH(#REF!, $BA$21:$BA$23, 0) - 1)*4, 0)</f>
        <v>0</v>
      </c>
      <c r="AU107" s="48">
        <f>IFERROR(#REF!/2 + IF(J107&lt;0.75, 0, 4), 0)</f>
        <v>0</v>
      </c>
      <c r="AV107" s="48" t="str" cm="1">
        <f t="array" ref="AV107">IF($AU107&gt;0, INDEX($BA$12:$BP$19, $AU107, $AT107+AV$11), "-")</f>
        <v>-</v>
      </c>
      <c r="AW107" s="48" t="str" cm="1">
        <f t="array" ref="AW107">IF($AU107&gt;0, INDEX($BA$12:$BP$19, $AU107, $AT107+AW$11), "-")</f>
        <v>-</v>
      </c>
      <c r="AX107" s="48" t="str" cm="1">
        <f t="array" ref="AX107">IF($AU107&gt;0, INDEX($BA$12:$BP$19, $AU107, $AT107+AX$11), "-")</f>
        <v>-</v>
      </c>
      <c r="AY107" s="48" t="str" cm="1">
        <f t="array" ref="AY107">IF($AU107&gt;0, INDEX($BA$12:$BP$19, $AU107, $AT107+AY$11), "-")</f>
        <v>-</v>
      </c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</row>
    <row r="108" spans="1:69" s="91" customFormat="1" x14ac:dyDescent="0.2">
      <c r="A108" s="33" cm="1">
        <f t="array" ref="A108">IFERROR(INDEX(Operation, IFERROR(MATCH(#REF!, Y!$B$40:$B$51, 0), IFERROR(MATCH(#REF!, Y!$C$40:$C$51, 0), MATCH(#REF!, Y!$D$40:$D$51, 0))), 4), 0)</f>
        <v>0</v>
      </c>
      <c r="B108" s="105">
        <v>97</v>
      </c>
      <c r="C108" s="7"/>
      <c r="D108" s="7"/>
      <c r="E108" s="30"/>
      <c r="F108" s="8" t="str">
        <f>IF(ISBLANK(E108), "", VLOOKUP(E108, Z!$A$2:$C$4127, 3, FALSE))</f>
        <v/>
      </c>
      <c r="G108" s="60"/>
      <c r="H108" s="124"/>
      <c r="I108" s="34"/>
      <c r="J108" s="40"/>
      <c r="K108" s="41"/>
      <c r="L108" s="40"/>
      <c r="M108" s="31">
        <f t="shared" si="28"/>
        <v>0</v>
      </c>
      <c r="N108" s="7"/>
      <c r="O108" s="7"/>
      <c r="P108" s="61"/>
      <c r="Q108" s="35"/>
      <c r="R108" s="40"/>
      <c r="S108" s="31">
        <f t="shared" si="29"/>
        <v>0</v>
      </c>
      <c r="T108" s="6"/>
      <c r="U108" s="7"/>
      <c r="V108" s="30"/>
      <c r="W108" s="8" t="str">
        <f>IF(ISBLANK(V108), "", VLOOKUP(V108, Z!$A$2:$C$4127, 3, FALSE))</f>
        <v/>
      </c>
      <c r="X108" s="36"/>
      <c r="Y108" s="87">
        <f t="shared" si="30"/>
        <v>0</v>
      </c>
      <c r="Z108" s="21"/>
      <c r="AA108" s="106">
        <f>IFERROR(120*50/#REF!, 0)</f>
        <v>0</v>
      </c>
      <c r="AB108" s="106">
        <f>IFERROR(VLOOKUP($G108, Y!$F$2:$I$10, 4, FALSE), 0)</f>
        <v>0</v>
      </c>
      <c r="AC108" s="107">
        <f>IFERROR(VLOOKUP($G108, Y!$F$2:$I$10, 4, FALSE) * SQRT(H108/3600)/(I108/#REF!)^0.75, 0)</f>
        <v>0</v>
      </c>
      <c r="AD108" s="108">
        <f>IFERROR((88.59*LN(AC108) + 13.46*LN(H108) - 11.48*LN(AC108)^2 -0.85*LN(H108)^2 - 0.38*LN(AC108)*LN(H108) - VLOOKUP(G108,Y!$F$2:$H$10, 2, FALSE) ) / 100, 0)</f>
        <v>0</v>
      </c>
      <c r="AE108" s="109">
        <f t="shared" si="21"/>
        <v>0</v>
      </c>
      <c r="AF108" s="109">
        <f t="shared" si="31"/>
        <v>0</v>
      </c>
      <c r="AG108" s="110">
        <f t="shared" ref="AG108:AG111" si="35">IFERROR(AF108/J108, 0)</f>
        <v>0</v>
      </c>
      <c r="AH108" s="111">
        <f t="shared" si="23"/>
        <v>0</v>
      </c>
      <c r="AI108" s="25"/>
      <c r="AJ108" s="108">
        <f>IFERROR(#REF!*#REF!^2 /(#REF!/AA108)^2 +#REF! *#REF! /(#REF!/AA108), 0)</f>
        <v>0</v>
      </c>
      <c r="AK108" s="112">
        <f t="shared" si="24"/>
        <v>0</v>
      </c>
      <c r="AL108" s="112">
        <f t="shared" si="32"/>
        <v>0</v>
      </c>
      <c r="AM108" s="110">
        <f t="shared" ref="AM108:AM111" si="36">IFERROR(AL108/J108, 0)</f>
        <v>0</v>
      </c>
      <c r="AN108" s="109">
        <f t="shared" si="33"/>
        <v>0</v>
      </c>
      <c r="AO108" s="25"/>
      <c r="AP108" s="80">
        <f t="shared" si="26"/>
        <v>0</v>
      </c>
      <c r="AQ108" s="80">
        <f t="shared" si="34"/>
        <v>0.25</v>
      </c>
      <c r="AR108" s="25"/>
      <c r="AS108" s="66">
        <f t="shared" si="27"/>
        <v>1</v>
      </c>
      <c r="AT108" s="50">
        <f>IFERROR((MATCH(#REF!, $BA$21:$BA$23, 0) - 1)*4, 0)</f>
        <v>0</v>
      </c>
      <c r="AU108" s="48">
        <f>IFERROR(#REF!/2 + IF(J108&lt;0.75, 0, 4), 0)</f>
        <v>0</v>
      </c>
      <c r="AV108" s="48" t="str" cm="1">
        <f t="array" ref="AV108">IF($AU108&gt;0, INDEX($BA$12:$BP$19, $AU108, $AT108+AV$11), "-")</f>
        <v>-</v>
      </c>
      <c r="AW108" s="48" t="str" cm="1">
        <f t="array" ref="AW108">IF($AU108&gt;0, INDEX($BA$12:$BP$19, $AU108, $AT108+AW$11), "-")</f>
        <v>-</v>
      </c>
      <c r="AX108" s="48" t="str" cm="1">
        <f t="array" ref="AX108">IF($AU108&gt;0, INDEX($BA$12:$BP$19, $AU108, $AT108+AX$11), "-")</f>
        <v>-</v>
      </c>
      <c r="AY108" s="48" t="str" cm="1">
        <f t="array" ref="AY108">IF($AU108&gt;0, INDEX($BA$12:$BP$19, $AU108, $AT108+AY$11), "-")</f>
        <v>-</v>
      </c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</row>
    <row r="109" spans="1:69" s="91" customFormat="1" x14ac:dyDescent="0.2">
      <c r="A109" s="33" cm="1">
        <f t="array" ref="A109">IFERROR(INDEX(Operation, IFERROR(MATCH(#REF!, Y!$B$40:$B$51, 0), IFERROR(MATCH(#REF!, Y!$C$40:$C$51, 0), MATCH(#REF!, Y!$D$40:$D$51, 0))), 4), 0)</f>
        <v>0</v>
      </c>
      <c r="B109" s="105">
        <v>98</v>
      </c>
      <c r="C109" s="7"/>
      <c r="D109" s="7"/>
      <c r="E109" s="30"/>
      <c r="F109" s="8" t="str">
        <f>IF(ISBLANK(E109), "", VLOOKUP(E109, Z!$A$2:$C$4127, 3, FALSE))</f>
        <v/>
      </c>
      <c r="G109" s="60"/>
      <c r="H109" s="124"/>
      <c r="I109" s="34"/>
      <c r="J109" s="40"/>
      <c r="K109" s="41"/>
      <c r="L109" s="40"/>
      <c r="M109" s="31">
        <f t="shared" si="28"/>
        <v>0</v>
      </c>
      <c r="N109" s="7"/>
      <c r="O109" s="7"/>
      <c r="P109" s="61"/>
      <c r="Q109" s="35"/>
      <c r="R109" s="40"/>
      <c r="S109" s="31">
        <f t="shared" si="29"/>
        <v>0</v>
      </c>
      <c r="T109" s="6"/>
      <c r="U109" s="7"/>
      <c r="V109" s="30"/>
      <c r="W109" s="8" t="str">
        <f>IF(ISBLANK(V109), "", VLOOKUP(V109, Z!$A$2:$C$4127, 3, FALSE))</f>
        <v/>
      </c>
      <c r="X109" s="36"/>
      <c r="Y109" s="87">
        <f t="shared" si="30"/>
        <v>0</v>
      </c>
      <c r="Z109" s="21"/>
      <c r="AA109" s="106">
        <f>IFERROR(120*50/#REF!, 0)</f>
        <v>0</v>
      </c>
      <c r="AB109" s="106">
        <f>IFERROR(VLOOKUP($G109, Y!$F$2:$I$10, 4, FALSE), 0)</f>
        <v>0</v>
      </c>
      <c r="AC109" s="107">
        <f>IFERROR(VLOOKUP($G109, Y!$F$2:$I$10, 4, FALSE) * SQRT(H109/3600)/(I109/#REF!)^0.75, 0)</f>
        <v>0</v>
      </c>
      <c r="AD109" s="108">
        <f>IFERROR((88.59*LN(AC109) + 13.46*LN(H109) - 11.48*LN(AC109)^2 -0.85*LN(H109)^2 - 0.38*LN(AC109)*LN(H109) - VLOOKUP(G109,Y!$F$2:$H$10, 2, FALSE) ) / 100, 0)</f>
        <v>0</v>
      </c>
      <c r="AE109" s="109">
        <f t="shared" si="21"/>
        <v>0</v>
      </c>
      <c r="AF109" s="109">
        <f t="shared" si="31"/>
        <v>0</v>
      </c>
      <c r="AG109" s="110">
        <f t="shared" si="35"/>
        <v>0</v>
      </c>
      <c r="AH109" s="111">
        <f t="shared" si="23"/>
        <v>0</v>
      </c>
      <c r="AI109" s="25"/>
      <c r="AJ109" s="108">
        <f>IFERROR(#REF!*#REF!^2 /(#REF!/AA109)^2 +#REF! *#REF! /(#REF!/AA109), 0)</f>
        <v>0</v>
      </c>
      <c r="AK109" s="112">
        <f t="shared" si="24"/>
        <v>0</v>
      </c>
      <c r="AL109" s="112">
        <f t="shared" si="32"/>
        <v>0</v>
      </c>
      <c r="AM109" s="110">
        <f t="shared" si="36"/>
        <v>0</v>
      </c>
      <c r="AN109" s="109">
        <f t="shared" si="33"/>
        <v>0</v>
      </c>
      <c r="AO109" s="25"/>
      <c r="AP109" s="80">
        <f t="shared" si="26"/>
        <v>0</v>
      </c>
      <c r="AQ109" s="80">
        <f t="shared" si="34"/>
        <v>0.25</v>
      </c>
      <c r="AR109" s="25"/>
      <c r="AS109" s="66">
        <f t="shared" si="27"/>
        <v>1</v>
      </c>
      <c r="AT109" s="50">
        <f>IFERROR((MATCH(#REF!, $BA$21:$BA$23, 0) - 1)*4, 0)</f>
        <v>0</v>
      </c>
      <c r="AU109" s="48">
        <f>IFERROR(#REF!/2 + IF(J109&lt;0.75, 0, 4), 0)</f>
        <v>0</v>
      </c>
      <c r="AV109" s="48" t="str" cm="1">
        <f t="array" ref="AV109">IF($AU109&gt;0, INDEX($BA$12:$BP$19, $AU109, $AT109+AV$11), "-")</f>
        <v>-</v>
      </c>
      <c r="AW109" s="48" t="str" cm="1">
        <f t="array" ref="AW109">IF($AU109&gt;0, INDEX($BA$12:$BP$19, $AU109, $AT109+AW$11), "-")</f>
        <v>-</v>
      </c>
      <c r="AX109" s="48" t="str" cm="1">
        <f t="array" ref="AX109">IF($AU109&gt;0, INDEX($BA$12:$BP$19, $AU109, $AT109+AX$11), "-")</f>
        <v>-</v>
      </c>
      <c r="AY109" s="48" t="str" cm="1">
        <f t="array" ref="AY109">IF($AU109&gt;0, INDEX($BA$12:$BP$19, $AU109, $AT109+AY$11), "-")</f>
        <v>-</v>
      </c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</row>
    <row r="110" spans="1:69" s="91" customFormat="1" x14ac:dyDescent="0.2">
      <c r="A110" s="33" cm="1">
        <f t="array" ref="A110">IFERROR(INDEX(Operation, IFERROR(MATCH(#REF!, Y!$B$40:$B$51, 0), IFERROR(MATCH(#REF!, Y!$C$40:$C$51, 0), MATCH(#REF!, Y!$D$40:$D$51, 0))), 4), 0)</f>
        <v>0</v>
      </c>
      <c r="B110" s="105">
        <v>99</v>
      </c>
      <c r="C110" s="7"/>
      <c r="D110" s="7"/>
      <c r="E110" s="30"/>
      <c r="F110" s="8" t="str">
        <f>IF(ISBLANK(E110), "", VLOOKUP(E110, Z!$A$2:$C$4127, 3, FALSE))</f>
        <v/>
      </c>
      <c r="G110" s="60"/>
      <c r="H110" s="124"/>
      <c r="I110" s="34"/>
      <c r="J110" s="40"/>
      <c r="K110" s="41"/>
      <c r="L110" s="40"/>
      <c r="M110" s="31">
        <f t="shared" si="28"/>
        <v>0</v>
      </c>
      <c r="N110" s="7"/>
      <c r="O110" s="7"/>
      <c r="P110" s="61"/>
      <c r="Q110" s="35"/>
      <c r="R110" s="40"/>
      <c r="S110" s="31">
        <f t="shared" si="29"/>
        <v>0</v>
      </c>
      <c r="T110" s="6"/>
      <c r="U110" s="7"/>
      <c r="V110" s="30"/>
      <c r="W110" s="8" t="str">
        <f>IF(ISBLANK(V110), "", VLOOKUP(V110, Z!$A$2:$C$4127, 3, FALSE))</f>
        <v/>
      </c>
      <c r="X110" s="36"/>
      <c r="Y110" s="87">
        <f t="shared" si="30"/>
        <v>0</v>
      </c>
      <c r="Z110" s="21"/>
      <c r="AA110" s="106">
        <f>IFERROR(120*50/#REF!, 0)</f>
        <v>0</v>
      </c>
      <c r="AB110" s="106">
        <f>IFERROR(VLOOKUP($G110, Y!$F$2:$I$10, 4, FALSE), 0)</f>
        <v>0</v>
      </c>
      <c r="AC110" s="107">
        <f>IFERROR(VLOOKUP($G110, Y!$F$2:$I$10, 4, FALSE) * SQRT(H110/3600)/(I110/#REF!)^0.75, 0)</f>
        <v>0</v>
      </c>
      <c r="AD110" s="108">
        <f>IFERROR((88.59*LN(AC110) + 13.46*LN(H110) - 11.48*LN(AC110)^2 -0.85*LN(H110)^2 - 0.38*LN(AC110)*LN(H110) - VLOOKUP(G110,Y!$F$2:$H$10, 2, FALSE) ) / 100, 0)</f>
        <v>0</v>
      </c>
      <c r="AE110" s="109">
        <f t="shared" si="21"/>
        <v>0</v>
      </c>
      <c r="AF110" s="109">
        <f t="shared" si="31"/>
        <v>0</v>
      </c>
      <c r="AG110" s="110">
        <f t="shared" si="35"/>
        <v>0</v>
      </c>
      <c r="AH110" s="111">
        <f t="shared" si="23"/>
        <v>0</v>
      </c>
      <c r="AI110" s="25"/>
      <c r="AJ110" s="108">
        <f>IFERROR(#REF!*#REF!^2 /(#REF!/AA110)^2 +#REF! *#REF! /(#REF!/AA110), 0)</f>
        <v>0</v>
      </c>
      <c r="AK110" s="112">
        <f t="shared" si="24"/>
        <v>0</v>
      </c>
      <c r="AL110" s="112">
        <f t="shared" si="32"/>
        <v>0</v>
      </c>
      <c r="AM110" s="110">
        <f t="shared" si="36"/>
        <v>0</v>
      </c>
      <c r="AN110" s="109">
        <f t="shared" si="33"/>
        <v>0</v>
      </c>
      <c r="AO110" s="25"/>
      <c r="AP110" s="80">
        <f t="shared" si="26"/>
        <v>0</v>
      </c>
      <c r="AQ110" s="80">
        <f t="shared" si="34"/>
        <v>0.25</v>
      </c>
      <c r="AR110" s="25"/>
      <c r="AS110" s="66">
        <f t="shared" si="27"/>
        <v>1</v>
      </c>
      <c r="AT110" s="50">
        <f>IFERROR((MATCH(#REF!, $BA$21:$BA$23, 0) - 1)*4, 0)</f>
        <v>0</v>
      </c>
      <c r="AU110" s="48">
        <f>IFERROR(#REF!/2 + IF(J110&lt;0.75, 0, 4), 0)</f>
        <v>0</v>
      </c>
      <c r="AV110" s="48" t="str" cm="1">
        <f t="array" ref="AV110">IF($AU110&gt;0, INDEX($BA$12:$BP$19, $AU110, $AT110+AV$11), "-")</f>
        <v>-</v>
      </c>
      <c r="AW110" s="48" t="str" cm="1">
        <f t="array" ref="AW110">IF($AU110&gt;0, INDEX($BA$12:$BP$19, $AU110, $AT110+AW$11), "-")</f>
        <v>-</v>
      </c>
      <c r="AX110" s="48" t="str" cm="1">
        <f t="array" ref="AX110">IF($AU110&gt;0, INDEX($BA$12:$BP$19, $AU110, $AT110+AX$11), "-")</f>
        <v>-</v>
      </c>
      <c r="AY110" s="48" t="str" cm="1">
        <f t="array" ref="AY110">IF($AU110&gt;0, INDEX($BA$12:$BP$19, $AU110, $AT110+AY$11), "-")</f>
        <v>-</v>
      </c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</row>
    <row r="111" spans="1:69" s="91" customFormat="1" x14ac:dyDescent="0.2">
      <c r="A111" s="33" cm="1">
        <f t="array" ref="A111">IFERROR(INDEX(Operation, IFERROR(MATCH(#REF!, Y!$B$40:$B$51, 0), IFERROR(MATCH(#REF!, Y!$C$40:$C$51, 0), MATCH(#REF!, Y!$D$40:$D$51, 0))), 4), 0)</f>
        <v>0</v>
      </c>
      <c r="B111" s="105">
        <v>100</v>
      </c>
      <c r="C111" s="7"/>
      <c r="D111" s="7"/>
      <c r="E111" s="30"/>
      <c r="F111" s="8" t="str">
        <f>IF(ISBLANK(E111), "", VLOOKUP(E111, Z!$A$2:$C$4127, 3, FALSE))</f>
        <v/>
      </c>
      <c r="G111" s="60"/>
      <c r="H111" s="124"/>
      <c r="I111" s="34"/>
      <c r="J111" s="40"/>
      <c r="K111" s="41"/>
      <c r="L111" s="40"/>
      <c r="M111" s="31">
        <f t="shared" si="28"/>
        <v>0</v>
      </c>
      <c r="N111" s="7"/>
      <c r="O111" s="7"/>
      <c r="P111" s="61"/>
      <c r="Q111" s="35"/>
      <c r="R111" s="40"/>
      <c r="S111" s="31">
        <f t="shared" si="29"/>
        <v>0</v>
      </c>
      <c r="T111" s="6"/>
      <c r="U111" s="7"/>
      <c r="V111" s="30"/>
      <c r="W111" s="8" t="str">
        <f>IF(ISBLANK(V111), "", VLOOKUP(V111, Z!$A$2:$C$4127, 3, FALSE))</f>
        <v/>
      </c>
      <c r="X111" s="36"/>
      <c r="Y111" s="87">
        <f t="shared" si="30"/>
        <v>0</v>
      </c>
      <c r="Z111" s="21"/>
      <c r="AA111" s="106">
        <f>IFERROR(120*50/#REF!, 0)</f>
        <v>0</v>
      </c>
      <c r="AB111" s="106">
        <f>IFERROR(VLOOKUP($G111, Y!$F$2:$I$10, 4, FALSE), 0)</f>
        <v>0</v>
      </c>
      <c r="AC111" s="107">
        <f>IFERROR(VLOOKUP($G111, Y!$F$2:$I$10, 4, FALSE) * SQRT(H111/3600)/(I111/#REF!)^0.75, 0)</f>
        <v>0</v>
      </c>
      <c r="AD111" s="108">
        <f>IFERROR((88.59*LN(AC111) + 13.46*LN(H111) - 11.48*LN(AC111)^2 -0.85*LN(H111)^2 - 0.38*LN(AC111)*LN(H111) - VLOOKUP(G111,Y!$F$2:$H$10, 2, FALSE) ) / 100, 0)</f>
        <v>0</v>
      </c>
      <c r="AE111" s="109">
        <f t="shared" si="21"/>
        <v>0</v>
      </c>
      <c r="AF111" s="109">
        <f t="shared" si="31"/>
        <v>0</v>
      </c>
      <c r="AG111" s="110">
        <f t="shared" si="35"/>
        <v>0</v>
      </c>
      <c r="AH111" s="111">
        <f t="shared" si="23"/>
        <v>0</v>
      </c>
      <c r="AI111" s="25"/>
      <c r="AJ111" s="108">
        <f>IFERROR(#REF!*#REF!^2 /(#REF!/AA111)^2 +#REF! *#REF! /(#REF!/AA111), 0)</f>
        <v>0</v>
      </c>
      <c r="AK111" s="112">
        <f t="shared" si="24"/>
        <v>0</v>
      </c>
      <c r="AL111" s="112">
        <f t="shared" si="32"/>
        <v>0</v>
      </c>
      <c r="AM111" s="110">
        <f t="shared" si="36"/>
        <v>0</v>
      </c>
      <c r="AN111" s="109">
        <f t="shared" si="33"/>
        <v>0</v>
      </c>
      <c r="AO111" s="25"/>
      <c r="AP111" s="80">
        <f t="shared" si="26"/>
        <v>0</v>
      </c>
      <c r="AQ111" s="80">
        <f t="shared" si="34"/>
        <v>0.25</v>
      </c>
      <c r="AR111" s="25"/>
      <c r="AS111" s="66">
        <f t="shared" si="27"/>
        <v>1</v>
      </c>
      <c r="AT111" s="50">
        <f>IFERROR((MATCH(#REF!, $BA$21:$BA$23, 0) - 1)*4, 0)</f>
        <v>0</v>
      </c>
      <c r="AU111" s="48">
        <f>IFERROR(#REF!/2 + IF(J111&lt;0.75, 0, 4), 0)</f>
        <v>0</v>
      </c>
      <c r="AV111" s="48" t="str" cm="1">
        <f t="array" ref="AV111">IF($AU111&gt;0, INDEX($BA$12:$BP$19, $AU111, $AT111+AV$11), "-")</f>
        <v>-</v>
      </c>
      <c r="AW111" s="48" t="str" cm="1">
        <f t="array" ref="AW111">IF($AU111&gt;0, INDEX($BA$12:$BP$19, $AU111, $AT111+AW$11), "-")</f>
        <v>-</v>
      </c>
      <c r="AX111" s="48" t="str" cm="1">
        <f t="array" ref="AX111">IF($AU111&gt;0, INDEX($BA$12:$BP$19, $AU111, $AT111+AX$11), "-")</f>
        <v>-</v>
      </c>
      <c r="AY111" s="48" t="str" cm="1">
        <f t="array" ref="AY111">IF($AU111&gt;0, INDEX($BA$12:$BP$19, $AU111, $AT111+AY$11), "-")</f>
        <v>-</v>
      </c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</row>
    <row r="112" spans="1:69" ht="35.1" customHeight="1" x14ac:dyDescent="0.2">
      <c r="A112" s="73"/>
      <c r="B112" s="113"/>
      <c r="C112" s="114"/>
      <c r="D112" s="114"/>
      <c r="E112" s="115"/>
      <c r="F112" s="114"/>
      <c r="G112" s="114"/>
      <c r="H112" s="114"/>
      <c r="I112" s="114"/>
      <c r="J112" s="114"/>
      <c r="K112" s="114"/>
      <c r="L112" s="114"/>
      <c r="M112" s="114"/>
      <c r="N112" s="114"/>
      <c r="O112" s="114"/>
      <c r="P112" s="114"/>
      <c r="Q112" s="114"/>
      <c r="R112" s="114"/>
      <c r="S112" s="114"/>
      <c r="T112" s="114"/>
      <c r="U112" s="114"/>
      <c r="V112" s="114"/>
      <c r="W112" s="114"/>
      <c r="X112" s="116" t="str" cm="1">
        <f t="array" ref="X112">INDEX(Trad, 6, $B$1)</f>
        <v>Gesamt</v>
      </c>
      <c r="Y112" s="117">
        <f>SUM(Y12:Y111)</f>
        <v>367.03125000000028</v>
      </c>
      <c r="Z112" s="21"/>
      <c r="AP112" s="42"/>
      <c r="AQ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</row>
    <row r="113" spans="1:69" x14ac:dyDescent="0.2">
      <c r="A113" s="21"/>
      <c r="C113" s="21"/>
      <c r="D113" s="21"/>
      <c r="E113" s="120"/>
      <c r="F113" s="21"/>
      <c r="G113" s="21"/>
      <c r="H113" s="21"/>
      <c r="I113" s="21"/>
      <c r="M113" s="21"/>
      <c r="N113" s="21"/>
      <c r="O113" s="21"/>
      <c r="P113" s="21"/>
      <c r="Q113" s="21"/>
      <c r="S113" s="21"/>
      <c r="T113" s="21"/>
      <c r="U113" s="21"/>
      <c r="V113" s="121"/>
      <c r="W113" s="21"/>
      <c r="X113" s="21"/>
      <c r="Y113" s="21"/>
      <c r="Z113" s="21"/>
      <c r="AP113" s="42"/>
      <c r="AQ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4"/>
      <c r="BM113" s="44"/>
      <c r="BN113" s="44"/>
      <c r="BO113" s="44"/>
      <c r="BP113" s="44"/>
      <c r="BQ113" s="44"/>
    </row>
    <row r="114" spans="1:69" x14ac:dyDescent="0.2">
      <c r="A114" s="21"/>
      <c r="C114" s="21"/>
      <c r="D114" s="21"/>
      <c r="E114" s="120"/>
      <c r="F114" s="21"/>
      <c r="G114" s="59"/>
      <c r="H114" s="21"/>
      <c r="I114" s="21"/>
      <c r="M114" s="21"/>
      <c r="N114" s="21"/>
      <c r="O114" s="21"/>
      <c r="P114" s="21"/>
      <c r="Q114" s="21"/>
      <c r="S114" s="21"/>
      <c r="T114" s="21"/>
      <c r="U114" s="21"/>
      <c r="V114" s="121"/>
      <c r="W114" s="21"/>
      <c r="X114" s="21"/>
      <c r="Y114" s="21"/>
      <c r="Z114" s="21"/>
      <c r="AP114" s="42"/>
      <c r="AQ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4"/>
      <c r="BM114" s="44"/>
      <c r="BN114" s="44"/>
      <c r="BO114" s="44"/>
      <c r="BP114" s="44"/>
      <c r="BQ114" s="44"/>
    </row>
    <row r="115" spans="1:69" x14ac:dyDescent="0.2">
      <c r="A115" s="21"/>
      <c r="C115" s="21"/>
      <c r="D115" s="21"/>
      <c r="E115" s="120"/>
      <c r="F115" s="21"/>
      <c r="G115" s="59"/>
      <c r="H115" s="21"/>
      <c r="I115" s="21"/>
      <c r="M115" s="21"/>
      <c r="N115" s="21"/>
      <c r="O115" s="21"/>
      <c r="P115" s="21"/>
      <c r="Q115" s="21"/>
      <c r="S115" s="21"/>
      <c r="T115" s="21"/>
      <c r="U115" s="21"/>
      <c r="V115" s="121"/>
      <c r="W115" s="21"/>
      <c r="X115" s="21"/>
      <c r="Y115" s="21"/>
      <c r="Z115" s="21"/>
      <c r="AP115" s="42"/>
      <c r="AQ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</row>
    <row r="116" spans="1:69" x14ac:dyDescent="0.2">
      <c r="A116" s="21"/>
      <c r="C116" s="21"/>
      <c r="D116" s="21"/>
      <c r="E116" s="120"/>
      <c r="F116" s="21"/>
      <c r="G116" s="59"/>
      <c r="H116" s="21"/>
      <c r="I116" s="21"/>
      <c r="M116" s="21"/>
      <c r="N116" s="21"/>
      <c r="O116" s="21"/>
      <c r="P116" s="21"/>
      <c r="Q116" s="21"/>
      <c r="S116" s="21"/>
      <c r="T116" s="21"/>
      <c r="U116" s="21"/>
      <c r="V116" s="121"/>
      <c r="W116" s="21"/>
      <c r="X116" s="21"/>
      <c r="Y116" s="21"/>
      <c r="Z116" s="21"/>
      <c r="AP116" s="42"/>
      <c r="AQ116" s="42"/>
      <c r="AS116" s="42"/>
      <c r="AT116" s="42"/>
      <c r="AU116" s="42"/>
      <c r="AV116" s="42"/>
      <c r="AW116" s="42"/>
      <c r="AX116" s="42"/>
      <c r="AY116" s="42"/>
      <c r="AZ116" s="42"/>
      <c r="BA116" s="42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44"/>
    </row>
    <row r="117" spans="1:69" x14ac:dyDescent="0.2">
      <c r="A117" s="21"/>
      <c r="C117" s="21"/>
      <c r="D117" s="21"/>
      <c r="E117" s="120"/>
      <c r="F117" s="21"/>
      <c r="G117" s="59"/>
      <c r="H117" s="21"/>
      <c r="I117" s="21"/>
      <c r="M117" s="21"/>
      <c r="N117" s="21"/>
      <c r="O117" s="21"/>
      <c r="P117" s="21"/>
      <c r="Q117" s="21"/>
      <c r="S117" s="21"/>
      <c r="T117" s="21"/>
      <c r="U117" s="21"/>
      <c r="V117" s="121"/>
      <c r="W117" s="21"/>
      <c r="X117" s="21"/>
      <c r="Y117" s="21"/>
      <c r="Z117" s="21"/>
      <c r="AP117" s="42"/>
      <c r="AQ117" s="42"/>
      <c r="AS117" s="42"/>
      <c r="AT117" s="42"/>
      <c r="AU117" s="42"/>
      <c r="AV117" s="42"/>
      <c r="AW117" s="42"/>
      <c r="AX117" s="42"/>
      <c r="AY117" s="42"/>
      <c r="AZ117" s="42"/>
      <c r="BA117" s="42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44"/>
    </row>
    <row r="118" spans="1:69" x14ac:dyDescent="0.2">
      <c r="A118" s="21"/>
      <c r="C118" s="21"/>
      <c r="D118" s="21"/>
      <c r="E118" s="120"/>
      <c r="F118" s="21"/>
      <c r="G118" s="59"/>
      <c r="H118" s="21"/>
      <c r="I118" s="21"/>
      <c r="M118" s="21"/>
      <c r="N118" s="21"/>
      <c r="O118" s="21"/>
      <c r="P118" s="21"/>
      <c r="Q118" s="21"/>
      <c r="S118" s="21"/>
      <c r="T118" s="21"/>
      <c r="U118" s="21"/>
      <c r="V118" s="121"/>
      <c r="W118" s="21"/>
      <c r="X118" s="21"/>
      <c r="Y118" s="21"/>
      <c r="Z118" s="21"/>
      <c r="AP118" s="42"/>
      <c r="AQ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4"/>
      <c r="BM118" s="44"/>
      <c r="BN118" s="44"/>
      <c r="BO118" s="44"/>
      <c r="BP118" s="44"/>
      <c r="BQ118" s="44"/>
    </row>
    <row r="119" spans="1:69" x14ac:dyDescent="0.2">
      <c r="A119" s="21"/>
      <c r="C119" s="21"/>
      <c r="D119" s="21"/>
      <c r="E119" s="120"/>
      <c r="F119" s="21"/>
      <c r="G119" s="59"/>
      <c r="H119" s="21"/>
      <c r="I119" s="21"/>
      <c r="M119" s="21"/>
      <c r="N119" s="21"/>
      <c r="O119" s="21"/>
      <c r="P119" s="21"/>
      <c r="Q119" s="21"/>
      <c r="S119" s="21"/>
      <c r="T119" s="21"/>
      <c r="U119" s="21"/>
      <c r="V119" s="121"/>
      <c r="W119" s="21"/>
      <c r="X119" s="21"/>
      <c r="Y119" s="21"/>
      <c r="Z119" s="21"/>
      <c r="AP119" s="42"/>
      <c r="AQ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</row>
    <row r="120" spans="1:69" x14ac:dyDescent="0.2">
      <c r="A120" s="21"/>
      <c r="C120" s="21"/>
      <c r="D120" s="21"/>
      <c r="E120" s="120"/>
      <c r="F120" s="21"/>
      <c r="G120" s="59"/>
      <c r="H120" s="21"/>
      <c r="I120" s="21"/>
      <c r="M120" s="21"/>
      <c r="N120" s="21"/>
      <c r="O120" s="21"/>
      <c r="P120" s="21"/>
      <c r="Q120" s="21"/>
      <c r="S120" s="21"/>
      <c r="T120" s="21"/>
      <c r="U120" s="21"/>
      <c r="V120" s="121"/>
      <c r="W120" s="21"/>
      <c r="X120" s="21"/>
      <c r="Y120" s="21"/>
      <c r="Z120" s="21"/>
      <c r="AP120" s="42"/>
      <c r="AQ120" s="42"/>
      <c r="AS120" s="42"/>
      <c r="AT120" s="42"/>
      <c r="AU120" s="42"/>
      <c r="AV120" s="42"/>
      <c r="AW120" s="42"/>
      <c r="AX120" s="42"/>
      <c r="AY120" s="43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4"/>
      <c r="BM120" s="44"/>
      <c r="BN120" s="44"/>
      <c r="BO120" s="44"/>
      <c r="BP120" s="44"/>
      <c r="BQ120" s="44"/>
    </row>
    <row r="121" spans="1:69" x14ac:dyDescent="0.2">
      <c r="A121" s="21"/>
      <c r="C121" s="21"/>
      <c r="D121" s="21"/>
      <c r="E121" s="120"/>
      <c r="F121" s="21"/>
      <c r="G121" s="59"/>
      <c r="H121" s="21"/>
      <c r="I121" s="21"/>
      <c r="M121" s="21"/>
      <c r="N121" s="21"/>
      <c r="O121" s="21"/>
      <c r="P121" s="21"/>
      <c r="Q121" s="21"/>
      <c r="S121" s="21"/>
      <c r="T121" s="21"/>
      <c r="U121" s="21"/>
      <c r="V121" s="121"/>
      <c r="W121" s="21"/>
      <c r="X121" s="21"/>
      <c r="Y121" s="21"/>
      <c r="Z121" s="21"/>
      <c r="AP121" s="42"/>
      <c r="AQ121" s="42"/>
      <c r="AS121" s="42"/>
      <c r="AT121" s="42"/>
      <c r="AU121" s="42"/>
      <c r="AV121" s="42"/>
      <c r="AW121" s="42"/>
      <c r="AX121" s="42"/>
      <c r="AY121" s="43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4"/>
      <c r="BM121" s="44"/>
      <c r="BN121" s="44"/>
      <c r="BO121" s="44"/>
      <c r="BP121" s="44"/>
      <c r="BQ121" s="44"/>
    </row>
    <row r="122" spans="1:69" x14ac:dyDescent="0.2">
      <c r="A122" s="21"/>
      <c r="C122" s="21"/>
      <c r="D122" s="21"/>
      <c r="E122" s="120"/>
      <c r="F122" s="21"/>
      <c r="G122" s="59"/>
      <c r="H122" s="21"/>
      <c r="I122" s="21"/>
      <c r="M122" s="21"/>
      <c r="N122" s="21"/>
      <c r="O122" s="21"/>
      <c r="P122" s="21"/>
      <c r="Q122" s="21"/>
      <c r="S122" s="21"/>
      <c r="T122" s="21"/>
      <c r="U122" s="21"/>
      <c r="V122" s="121"/>
      <c r="W122" s="21"/>
      <c r="X122" s="21"/>
      <c r="Y122" s="21"/>
      <c r="Z122" s="21"/>
      <c r="AP122" s="42"/>
      <c r="AQ122" s="42"/>
      <c r="AS122" s="42"/>
      <c r="AT122" s="42"/>
      <c r="AU122" s="42"/>
      <c r="AV122" s="42"/>
      <c r="AW122" s="42"/>
      <c r="AX122" s="42"/>
      <c r="AY122" s="43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</row>
    <row r="123" spans="1:69" x14ac:dyDescent="0.2">
      <c r="A123" s="21"/>
      <c r="C123" s="21"/>
      <c r="D123" s="21"/>
      <c r="E123" s="120"/>
      <c r="F123" s="21"/>
      <c r="G123" s="59"/>
      <c r="H123" s="21"/>
      <c r="I123" s="21"/>
      <c r="M123" s="21"/>
      <c r="N123" s="21"/>
      <c r="O123" s="21"/>
      <c r="P123" s="21"/>
      <c r="Q123" s="21"/>
      <c r="S123" s="21"/>
      <c r="T123" s="21"/>
      <c r="U123" s="21"/>
      <c r="V123" s="121"/>
      <c r="W123" s="21"/>
      <c r="X123" s="21"/>
      <c r="Y123" s="21"/>
      <c r="Z123" s="21"/>
      <c r="AP123" s="42"/>
      <c r="AQ123" s="42"/>
      <c r="AS123" s="42"/>
      <c r="AT123" s="42"/>
      <c r="AU123" s="42"/>
      <c r="AV123" s="42"/>
      <c r="AW123" s="42"/>
      <c r="AX123" s="42"/>
      <c r="AY123" s="43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44"/>
    </row>
    <row r="124" spans="1:69" x14ac:dyDescent="0.2">
      <c r="A124" s="21"/>
      <c r="C124" s="21"/>
      <c r="D124" s="21"/>
      <c r="E124" s="120"/>
      <c r="F124" s="21"/>
      <c r="G124" s="59"/>
      <c r="H124" s="21"/>
      <c r="I124" s="21"/>
      <c r="M124" s="21"/>
      <c r="N124" s="21"/>
      <c r="O124" s="21"/>
      <c r="P124" s="21"/>
      <c r="Q124" s="21"/>
      <c r="S124" s="21"/>
      <c r="T124" s="21"/>
      <c r="U124" s="21"/>
      <c r="V124" s="121"/>
      <c r="W124" s="21"/>
      <c r="X124" s="21"/>
      <c r="Y124" s="21"/>
      <c r="Z124" s="21"/>
      <c r="AP124" s="42"/>
      <c r="AQ124" s="42"/>
      <c r="AS124" s="42"/>
      <c r="AT124" s="42"/>
      <c r="AU124" s="42"/>
      <c r="AV124" s="42"/>
      <c r="AW124" s="42"/>
      <c r="AX124" s="42"/>
      <c r="AY124" s="43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</row>
    <row r="125" spans="1:69" x14ac:dyDescent="0.2">
      <c r="A125" s="21"/>
      <c r="C125" s="21"/>
      <c r="D125" s="21"/>
      <c r="E125" s="120"/>
      <c r="F125" s="21"/>
      <c r="G125" s="59"/>
      <c r="H125" s="21"/>
      <c r="I125" s="21"/>
      <c r="M125" s="21"/>
      <c r="N125" s="21"/>
      <c r="O125" s="21"/>
      <c r="P125" s="21"/>
      <c r="Q125" s="21"/>
      <c r="S125" s="21"/>
      <c r="T125" s="21"/>
      <c r="U125" s="21"/>
      <c r="V125" s="121"/>
      <c r="W125" s="21"/>
      <c r="X125" s="21"/>
      <c r="Y125" s="21"/>
      <c r="Z125" s="21"/>
      <c r="AP125" s="42"/>
      <c r="AQ125" s="42"/>
      <c r="AS125" s="42"/>
      <c r="AT125" s="42"/>
      <c r="AU125" s="42"/>
      <c r="AV125" s="42"/>
      <c r="AW125" s="42"/>
      <c r="AX125" s="42"/>
      <c r="AY125" s="43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</row>
    <row r="126" spans="1:69" x14ac:dyDescent="0.2">
      <c r="A126" s="21"/>
      <c r="C126" s="21"/>
      <c r="D126" s="21"/>
      <c r="E126" s="120"/>
      <c r="F126" s="21"/>
      <c r="G126" s="59"/>
      <c r="H126" s="21"/>
      <c r="I126" s="21"/>
      <c r="M126" s="21"/>
      <c r="N126" s="21"/>
      <c r="O126" s="21"/>
      <c r="P126" s="21"/>
      <c r="Q126" s="21"/>
      <c r="S126" s="21"/>
      <c r="T126" s="21"/>
      <c r="U126" s="21"/>
      <c r="V126" s="121"/>
      <c r="W126" s="21"/>
      <c r="X126" s="21"/>
      <c r="Y126" s="21"/>
      <c r="Z126" s="21"/>
      <c r="AP126" s="42"/>
      <c r="AQ126" s="42"/>
      <c r="AS126" s="42"/>
      <c r="AT126" s="42"/>
      <c r="AU126" s="42"/>
      <c r="AV126" s="42"/>
      <c r="AW126" s="42"/>
      <c r="AX126" s="42"/>
      <c r="AY126" s="43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4"/>
      <c r="BM126" s="44"/>
      <c r="BN126" s="44"/>
      <c r="BO126" s="44"/>
      <c r="BP126" s="44"/>
      <c r="BQ126" s="44"/>
    </row>
    <row r="127" spans="1:69" x14ac:dyDescent="0.2">
      <c r="A127" s="21"/>
      <c r="C127" s="21"/>
      <c r="D127" s="21"/>
      <c r="E127" s="120"/>
      <c r="F127" s="21"/>
      <c r="G127" s="59"/>
      <c r="H127" s="21"/>
      <c r="I127" s="21"/>
      <c r="M127" s="21"/>
      <c r="N127" s="21"/>
      <c r="O127" s="21"/>
      <c r="P127" s="21"/>
      <c r="Q127" s="21"/>
      <c r="S127" s="21"/>
      <c r="T127" s="21"/>
      <c r="U127" s="21"/>
      <c r="V127" s="121"/>
      <c r="W127" s="21"/>
      <c r="X127" s="21"/>
      <c r="Y127" s="21"/>
      <c r="Z127" s="21"/>
      <c r="AP127" s="42"/>
      <c r="AQ127" s="42"/>
      <c r="AS127" s="42"/>
      <c r="AT127" s="42"/>
      <c r="AU127" s="42"/>
      <c r="AV127" s="42"/>
      <c r="AW127" s="42"/>
      <c r="AX127" s="42"/>
      <c r="AY127" s="43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4"/>
      <c r="BM127" s="44"/>
      <c r="BN127" s="44"/>
      <c r="BO127" s="44"/>
      <c r="BP127" s="44"/>
      <c r="BQ127" s="44"/>
    </row>
    <row r="128" spans="1:69" x14ac:dyDescent="0.2">
      <c r="A128" s="21"/>
      <c r="C128" s="21"/>
      <c r="D128" s="21"/>
      <c r="E128" s="120"/>
      <c r="F128" s="21"/>
      <c r="G128" s="59"/>
      <c r="H128" s="21"/>
      <c r="I128" s="21"/>
      <c r="M128" s="21"/>
      <c r="N128" s="21"/>
      <c r="O128" s="21"/>
      <c r="P128" s="21"/>
      <c r="Q128" s="21"/>
      <c r="S128" s="21"/>
      <c r="T128" s="21"/>
      <c r="U128" s="21"/>
      <c r="V128" s="121"/>
      <c r="W128" s="21"/>
      <c r="X128" s="21"/>
      <c r="Y128" s="21"/>
      <c r="Z128" s="21"/>
      <c r="AP128" s="42"/>
      <c r="AQ128" s="42"/>
      <c r="AS128" s="42"/>
      <c r="AT128" s="42"/>
      <c r="AU128" s="42"/>
      <c r="AV128" s="42"/>
      <c r="AW128" s="42"/>
      <c r="AX128" s="42"/>
      <c r="AY128" s="43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44"/>
    </row>
    <row r="129" spans="1:69" x14ac:dyDescent="0.2">
      <c r="A129" s="21"/>
      <c r="C129" s="21"/>
      <c r="D129" s="21"/>
      <c r="E129" s="120"/>
      <c r="F129" s="21"/>
      <c r="G129" s="59"/>
      <c r="H129" s="21"/>
      <c r="I129" s="21"/>
      <c r="M129" s="21"/>
      <c r="N129" s="21"/>
      <c r="O129" s="21"/>
      <c r="P129" s="21"/>
      <c r="Q129" s="21"/>
      <c r="S129" s="21"/>
      <c r="T129" s="21"/>
      <c r="U129" s="21"/>
      <c r="V129" s="121"/>
      <c r="W129" s="21"/>
      <c r="X129" s="21"/>
      <c r="Y129" s="21"/>
      <c r="Z129" s="21"/>
      <c r="AP129" s="42"/>
      <c r="AQ129" s="42"/>
      <c r="AS129" s="42"/>
      <c r="AT129" s="42"/>
      <c r="AU129" s="42"/>
      <c r="AV129" s="42"/>
      <c r="AW129" s="42"/>
      <c r="AX129" s="42"/>
      <c r="AY129" s="43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</row>
    <row r="130" spans="1:69" s="91" customFormat="1" x14ac:dyDescent="0.2">
      <c r="A130" s="10"/>
      <c r="B130" s="15"/>
      <c r="C130" s="10"/>
      <c r="D130" s="10"/>
      <c r="E130" s="78"/>
      <c r="F130" s="10"/>
      <c r="G130" s="59"/>
      <c r="H130" s="10"/>
      <c r="I130" s="10"/>
      <c r="J130" s="39"/>
      <c r="K130" s="39"/>
      <c r="L130" s="39"/>
      <c r="M130" s="10"/>
      <c r="N130" s="10"/>
      <c r="O130" s="10"/>
      <c r="P130" s="10"/>
      <c r="Q130" s="10"/>
      <c r="R130" s="39"/>
      <c r="S130" s="10"/>
      <c r="T130" s="10"/>
      <c r="U130" s="10"/>
      <c r="V130" s="10"/>
      <c r="W130" s="10"/>
      <c r="X130" s="10"/>
      <c r="Y130" s="10"/>
      <c r="Z130" s="10"/>
      <c r="AA130" s="118"/>
      <c r="AB130" s="118"/>
      <c r="AC130" s="118"/>
      <c r="AD130" s="118"/>
      <c r="AE130" s="118"/>
      <c r="AF130" s="118"/>
      <c r="AG130" s="118"/>
      <c r="AH130" s="119"/>
      <c r="AI130" s="10"/>
      <c r="AJ130" s="118"/>
      <c r="AK130" s="118"/>
      <c r="AL130" s="118"/>
      <c r="AM130" s="118"/>
      <c r="AN130" s="118"/>
      <c r="AO130" s="10"/>
      <c r="AP130" s="15"/>
      <c r="AQ130" s="15"/>
      <c r="AR130" s="10"/>
      <c r="AS130" s="15"/>
      <c r="AT130" s="15"/>
      <c r="AU130" s="15"/>
      <c r="AV130" s="15"/>
      <c r="AW130" s="15"/>
      <c r="AX130" s="15"/>
      <c r="AY130" s="56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</row>
    <row r="131" spans="1:69" s="91" customFormat="1" x14ac:dyDescent="0.2">
      <c r="A131" s="10"/>
      <c r="B131" s="15"/>
      <c r="C131" s="10"/>
      <c r="D131" s="10"/>
      <c r="E131" s="78"/>
      <c r="F131" s="10"/>
      <c r="G131" s="10"/>
      <c r="H131" s="10"/>
      <c r="I131" s="10"/>
      <c r="J131" s="39"/>
      <c r="K131" s="39"/>
      <c r="L131" s="39"/>
      <c r="M131" s="10"/>
      <c r="N131" s="10"/>
      <c r="O131" s="10"/>
      <c r="P131" s="10"/>
      <c r="Q131" s="10"/>
      <c r="R131" s="39"/>
      <c r="S131" s="10"/>
      <c r="T131" s="10"/>
      <c r="U131" s="10"/>
      <c r="V131" s="10"/>
      <c r="W131" s="10"/>
      <c r="X131" s="10"/>
      <c r="Y131" s="10"/>
      <c r="Z131" s="10"/>
      <c r="AA131" s="118"/>
      <c r="AB131" s="118"/>
      <c r="AC131" s="118"/>
      <c r="AD131" s="118"/>
      <c r="AE131" s="118"/>
      <c r="AF131" s="118"/>
      <c r="AG131" s="118"/>
      <c r="AH131" s="119"/>
      <c r="AI131" s="10"/>
      <c r="AJ131" s="118"/>
      <c r="AK131" s="118"/>
      <c r="AL131" s="118"/>
      <c r="AM131" s="118"/>
      <c r="AN131" s="118"/>
      <c r="AO131" s="10"/>
      <c r="AP131" s="15"/>
      <c r="AQ131" s="15"/>
      <c r="AR131" s="10"/>
      <c r="AS131" s="15"/>
      <c r="AT131" s="15"/>
      <c r="AU131" s="15"/>
      <c r="AV131" s="15"/>
      <c r="AW131" s="15"/>
      <c r="AX131" s="15"/>
      <c r="AY131" s="56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</row>
    <row r="132" spans="1:69" s="91" customFormat="1" x14ac:dyDescent="0.2">
      <c r="A132" s="10"/>
      <c r="B132" s="15"/>
      <c r="C132" s="10"/>
      <c r="D132" s="10"/>
      <c r="E132" s="78"/>
      <c r="F132" s="10"/>
      <c r="G132" s="10"/>
      <c r="H132" s="10"/>
      <c r="I132" s="10"/>
      <c r="J132" s="39"/>
      <c r="K132" s="39"/>
      <c r="L132" s="39"/>
      <c r="M132" s="10"/>
      <c r="N132" s="10"/>
      <c r="O132" s="10"/>
      <c r="P132" s="10"/>
      <c r="Q132" s="10"/>
      <c r="R132" s="39"/>
      <c r="S132" s="10"/>
      <c r="T132" s="10"/>
      <c r="U132" s="10"/>
      <c r="V132" s="10"/>
      <c r="W132" s="10"/>
      <c r="X132" s="10"/>
      <c r="Y132" s="10"/>
      <c r="Z132" s="10"/>
      <c r="AA132" s="118"/>
      <c r="AB132" s="118"/>
      <c r="AC132" s="118"/>
      <c r="AD132" s="118"/>
      <c r="AE132" s="118"/>
      <c r="AF132" s="118"/>
      <c r="AG132" s="118"/>
      <c r="AH132" s="119"/>
      <c r="AI132" s="10"/>
      <c r="AJ132" s="118"/>
      <c r="AK132" s="118"/>
      <c r="AL132" s="118"/>
      <c r="AM132" s="118"/>
      <c r="AN132" s="118"/>
      <c r="AO132" s="10"/>
      <c r="AP132" s="15"/>
      <c r="AQ132" s="15"/>
      <c r="AR132" s="10"/>
      <c r="AS132" s="15"/>
      <c r="AT132" s="15"/>
      <c r="AU132" s="15"/>
      <c r="AV132" s="15"/>
      <c r="AW132" s="15"/>
      <c r="AX132" s="15"/>
      <c r="AY132" s="56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</row>
    <row r="133" spans="1:69" s="91" customFormat="1" x14ac:dyDescent="0.2">
      <c r="A133" s="10"/>
      <c r="B133" s="15"/>
      <c r="C133" s="10"/>
      <c r="D133" s="10"/>
      <c r="E133" s="78"/>
      <c r="F133" s="10"/>
      <c r="G133" s="10"/>
      <c r="H133" s="10"/>
      <c r="I133" s="10"/>
      <c r="J133" s="39"/>
      <c r="K133" s="39"/>
      <c r="L133" s="39"/>
      <c r="M133" s="10"/>
      <c r="N133" s="10"/>
      <c r="O133" s="10"/>
      <c r="P133" s="10"/>
      <c r="Q133" s="10"/>
      <c r="R133" s="39"/>
      <c r="S133" s="10"/>
      <c r="T133" s="10"/>
      <c r="U133" s="10"/>
      <c r="V133" s="10"/>
      <c r="W133" s="10"/>
      <c r="X133" s="10"/>
      <c r="Y133" s="10"/>
      <c r="Z133" s="10"/>
      <c r="AA133" s="118"/>
      <c r="AB133" s="118"/>
      <c r="AC133" s="118"/>
      <c r="AD133" s="118"/>
      <c r="AE133" s="118"/>
      <c r="AF133" s="118"/>
      <c r="AG133" s="118"/>
      <c r="AH133" s="119"/>
      <c r="AI133" s="10"/>
      <c r="AJ133" s="118"/>
      <c r="AK133" s="118"/>
      <c r="AL133" s="118"/>
      <c r="AM133" s="118"/>
      <c r="AN133" s="118"/>
      <c r="AO133" s="10"/>
      <c r="AP133" s="15"/>
      <c r="AQ133" s="15"/>
      <c r="AR133" s="10"/>
      <c r="AS133" s="15"/>
      <c r="AT133" s="15"/>
      <c r="AU133" s="15"/>
      <c r="AV133" s="15"/>
      <c r="AW133" s="15"/>
      <c r="AX133" s="15"/>
      <c r="AY133" s="56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</row>
    <row r="134" spans="1:69" s="91" customFormat="1" x14ac:dyDescent="0.2">
      <c r="A134" s="10"/>
      <c r="B134" s="15"/>
      <c r="C134" s="10"/>
      <c r="D134" s="10"/>
      <c r="E134" s="78"/>
      <c r="F134" s="10"/>
      <c r="G134" s="10"/>
      <c r="H134" s="10"/>
      <c r="I134" s="10"/>
      <c r="J134" s="39"/>
      <c r="K134" s="39"/>
      <c r="L134" s="39"/>
      <c r="M134" s="10"/>
      <c r="N134" s="10"/>
      <c r="O134" s="10"/>
      <c r="P134" s="10"/>
      <c r="Q134" s="10"/>
      <c r="R134" s="39"/>
      <c r="S134" s="10"/>
      <c r="T134" s="10"/>
      <c r="U134" s="10"/>
      <c r="V134" s="10"/>
      <c r="W134" s="10"/>
      <c r="X134" s="10"/>
      <c r="Y134" s="10"/>
      <c r="Z134" s="10"/>
      <c r="AA134" s="118"/>
      <c r="AB134" s="118"/>
      <c r="AC134" s="118"/>
      <c r="AD134" s="118"/>
      <c r="AE134" s="118"/>
      <c r="AF134" s="118"/>
      <c r="AG134" s="118"/>
      <c r="AH134" s="119"/>
      <c r="AI134" s="10"/>
      <c r="AJ134" s="118"/>
      <c r="AK134" s="118"/>
      <c r="AL134" s="118"/>
      <c r="AM134" s="118"/>
      <c r="AN134" s="118"/>
      <c r="AO134" s="10"/>
      <c r="AP134" s="15"/>
      <c r="AQ134" s="15"/>
      <c r="AR134" s="10"/>
      <c r="AS134" s="15"/>
      <c r="AT134" s="15"/>
      <c r="AU134" s="15"/>
      <c r="AV134" s="15"/>
      <c r="AW134" s="15"/>
      <c r="AX134" s="15"/>
      <c r="AY134" s="56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</row>
    <row r="135" spans="1:69" s="91" customFormat="1" x14ac:dyDescent="0.2">
      <c r="A135" s="10"/>
      <c r="B135" s="15"/>
      <c r="C135" s="10"/>
      <c r="D135" s="10"/>
      <c r="E135" s="78"/>
      <c r="F135" s="10"/>
      <c r="G135" s="10"/>
      <c r="H135" s="10"/>
      <c r="I135" s="10"/>
      <c r="J135" s="39"/>
      <c r="K135" s="39"/>
      <c r="L135" s="39"/>
      <c r="M135" s="10"/>
      <c r="N135" s="10"/>
      <c r="O135" s="10"/>
      <c r="P135" s="10"/>
      <c r="Q135" s="10"/>
      <c r="R135" s="39"/>
      <c r="S135" s="10"/>
      <c r="T135" s="10"/>
      <c r="U135" s="10"/>
      <c r="V135" s="10"/>
      <c r="W135" s="10"/>
      <c r="X135" s="10"/>
      <c r="Y135" s="10"/>
      <c r="Z135" s="10"/>
      <c r="AA135" s="118"/>
      <c r="AB135" s="118"/>
      <c r="AC135" s="118"/>
      <c r="AD135" s="118"/>
      <c r="AE135" s="118"/>
      <c r="AF135" s="118"/>
      <c r="AG135" s="118"/>
      <c r="AH135" s="119"/>
      <c r="AI135" s="10"/>
      <c r="AJ135" s="118"/>
      <c r="AK135" s="118"/>
      <c r="AL135" s="118"/>
      <c r="AM135" s="118"/>
      <c r="AN135" s="118"/>
      <c r="AO135" s="10"/>
      <c r="AP135" s="15"/>
      <c r="AQ135" s="15"/>
      <c r="AR135" s="10"/>
      <c r="AS135" s="15"/>
      <c r="AT135" s="15"/>
      <c r="AU135" s="15"/>
      <c r="AV135" s="15"/>
      <c r="AW135" s="15"/>
      <c r="AX135" s="15"/>
      <c r="AY135" s="56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</row>
    <row r="136" spans="1:69" s="91" customFormat="1" x14ac:dyDescent="0.2">
      <c r="A136" s="10"/>
      <c r="B136" s="15"/>
      <c r="C136" s="10"/>
      <c r="D136" s="10"/>
      <c r="E136" s="78"/>
      <c r="F136" s="10"/>
      <c r="G136" s="10"/>
      <c r="H136" s="10"/>
      <c r="I136" s="10"/>
      <c r="J136" s="39"/>
      <c r="K136" s="39"/>
      <c r="L136" s="39"/>
      <c r="M136" s="10"/>
      <c r="N136" s="10"/>
      <c r="O136" s="10"/>
      <c r="P136" s="10"/>
      <c r="Q136" s="10"/>
      <c r="R136" s="39"/>
      <c r="S136" s="10"/>
      <c r="T136" s="10"/>
      <c r="U136" s="10"/>
      <c r="V136" s="10"/>
      <c r="W136" s="10"/>
      <c r="X136" s="10"/>
      <c r="Y136" s="10"/>
      <c r="Z136" s="10"/>
      <c r="AA136" s="118"/>
      <c r="AB136" s="118"/>
      <c r="AC136" s="118"/>
      <c r="AD136" s="118"/>
      <c r="AE136" s="118"/>
      <c r="AF136" s="118"/>
      <c r="AG136" s="118"/>
      <c r="AH136" s="119"/>
      <c r="AI136" s="10"/>
      <c r="AJ136" s="118"/>
      <c r="AK136" s="118"/>
      <c r="AL136" s="118"/>
      <c r="AM136" s="118"/>
      <c r="AN136" s="118"/>
      <c r="AO136" s="10"/>
      <c r="AP136" s="15"/>
      <c r="AQ136" s="15"/>
      <c r="AR136" s="10"/>
      <c r="AS136" s="15"/>
      <c r="AT136" s="15"/>
      <c r="AU136" s="15"/>
      <c r="AV136" s="15"/>
      <c r="AW136" s="15"/>
      <c r="AX136" s="15"/>
      <c r="AY136" s="56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</row>
    <row r="137" spans="1:69" s="91" customFormat="1" x14ac:dyDescent="0.2">
      <c r="A137" s="10"/>
      <c r="B137" s="15"/>
      <c r="C137" s="10"/>
      <c r="D137" s="10"/>
      <c r="E137" s="78"/>
      <c r="F137" s="10"/>
      <c r="G137" s="10"/>
      <c r="H137" s="10"/>
      <c r="I137" s="10"/>
      <c r="J137" s="39"/>
      <c r="K137" s="39"/>
      <c r="L137" s="39"/>
      <c r="M137" s="10"/>
      <c r="N137" s="10"/>
      <c r="O137" s="10"/>
      <c r="P137" s="10"/>
      <c r="Q137" s="10"/>
      <c r="R137" s="39"/>
      <c r="S137" s="10"/>
      <c r="T137" s="10"/>
      <c r="U137" s="10"/>
      <c r="V137" s="10"/>
      <c r="W137" s="10"/>
      <c r="X137" s="10"/>
      <c r="Y137" s="10"/>
      <c r="Z137" s="10"/>
      <c r="AA137" s="118"/>
      <c r="AB137" s="118"/>
      <c r="AC137" s="118"/>
      <c r="AD137" s="118"/>
      <c r="AE137" s="118"/>
      <c r="AF137" s="118"/>
      <c r="AG137" s="118"/>
      <c r="AH137" s="119"/>
      <c r="AI137" s="10"/>
      <c r="AJ137" s="118"/>
      <c r="AK137" s="118"/>
      <c r="AL137" s="118"/>
      <c r="AM137" s="118"/>
      <c r="AN137" s="118"/>
      <c r="AO137" s="10"/>
      <c r="AP137" s="15"/>
      <c r="AQ137" s="15"/>
      <c r="AR137" s="10"/>
      <c r="AS137" s="15"/>
      <c r="AT137" s="15"/>
      <c r="AU137" s="15"/>
      <c r="AV137" s="15"/>
      <c r="AW137" s="15"/>
      <c r="AX137" s="15"/>
      <c r="AY137" s="56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</row>
    <row r="138" spans="1:69" s="91" customFormat="1" x14ac:dyDescent="0.2">
      <c r="A138" s="10"/>
      <c r="B138" s="15"/>
      <c r="C138" s="10"/>
      <c r="D138" s="10"/>
      <c r="E138" s="78"/>
      <c r="F138" s="10"/>
      <c r="G138" s="10"/>
      <c r="H138" s="10"/>
      <c r="I138" s="10"/>
      <c r="J138" s="39"/>
      <c r="K138" s="39"/>
      <c r="L138" s="39"/>
      <c r="M138" s="10"/>
      <c r="N138" s="10"/>
      <c r="O138" s="10"/>
      <c r="P138" s="10"/>
      <c r="Q138" s="10"/>
      <c r="R138" s="39"/>
      <c r="S138" s="10"/>
      <c r="T138" s="10"/>
      <c r="U138" s="10"/>
      <c r="V138" s="10"/>
      <c r="W138" s="10"/>
      <c r="X138" s="10"/>
      <c r="Y138" s="10"/>
      <c r="Z138" s="10"/>
      <c r="AA138" s="118"/>
      <c r="AB138" s="118"/>
      <c r="AC138" s="118"/>
      <c r="AD138" s="118"/>
      <c r="AE138" s="118"/>
      <c r="AF138" s="118"/>
      <c r="AG138" s="118"/>
      <c r="AH138" s="119"/>
      <c r="AI138" s="10"/>
      <c r="AJ138" s="118"/>
      <c r="AK138" s="118"/>
      <c r="AL138" s="118"/>
      <c r="AM138" s="118"/>
      <c r="AN138" s="118"/>
      <c r="AO138" s="10"/>
      <c r="AP138" s="15"/>
      <c r="AQ138" s="15"/>
      <c r="AR138" s="10"/>
      <c r="AS138" s="15"/>
      <c r="AT138" s="15"/>
      <c r="AU138" s="15"/>
      <c r="AV138" s="15"/>
      <c r="AW138" s="15"/>
      <c r="AX138" s="15"/>
      <c r="AY138" s="56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</row>
  </sheetData>
  <sheetProtection algorithmName="SHA-512" hashValue="EjBr9Wzzo+dQxhZFKU7l7l/iq1GdvSTfqbBv82BXwVwdRLOwFdXMaOKHSoA5AvBoOdpDBuFe4dWA7qe8CRysmg==" saltValue="M7Jg2V7vEH4UmAMzvkUxmg==" spinCount="100000" sheet="1" objects="1" scenarios="1"/>
  <phoneticPr fontId="28" type="noConversion"/>
  <conditionalFormatting sqref="L12:L111">
    <cfRule type="expression" dxfId="3" priority="5">
      <formula>#REF!&lt;&gt;"x"</formula>
    </cfRule>
  </conditionalFormatting>
  <conditionalFormatting sqref="P12:Q12">
    <cfRule type="expression" dxfId="2" priority="3">
      <formula>#REF!&lt;&gt;"x"</formula>
    </cfRule>
  </conditionalFormatting>
  <conditionalFormatting sqref="P13:Q111">
    <cfRule type="expression" dxfId="1" priority="2">
      <formula>#REF!&lt;&gt;"x"</formula>
    </cfRule>
  </conditionalFormatting>
  <conditionalFormatting sqref="R12:R111">
    <cfRule type="expression" dxfId="0" priority="1">
      <formula>#REF!&lt;&gt;"x"</formula>
    </cfRule>
  </conditionalFormatting>
  <dataValidations count="7">
    <dataValidation type="list" allowBlank="1" showInputMessage="1" showErrorMessage="1" sqref="B2 B4" xr:uid="{AFD83454-3471-496D-843F-5BE398528784}">
      <formula1>"D,F,I"</formula1>
    </dataValidation>
    <dataValidation type="decimal" allowBlank="1" showInputMessage="1" showErrorMessage="1" sqref="J12:J111 R12:R111 L12:L111" xr:uid="{E467C0CF-0BC9-41FF-A6EC-0E3F518DEC73}">
      <formula1>0</formula1>
      <formula2>75</formula2>
    </dataValidation>
    <dataValidation type="decimal" allowBlank="1" showInputMessage="1" showErrorMessage="1" sqref="J112:L1048576 J1:L8 R112:R1048576 R1:R8" xr:uid="{0F17A965-1A85-4FCD-A2F5-9BE1371DC3E3}">
      <formula1>0</formula1>
      <formula2>250</formula2>
    </dataValidation>
    <dataValidation type="whole" allowBlank="1" showInputMessage="1" showErrorMessage="1" sqref="K12:K111" xr:uid="{84F1A775-5BD3-4C96-9777-04A00A76CA65}">
      <formula1>0</formula1>
      <formula2>8760</formula2>
    </dataValidation>
    <dataValidation type="decimal" operator="greaterThan" allowBlank="1" showInputMessage="1" showErrorMessage="1" sqref="I12:I111 Q12:Q111" xr:uid="{EDAC3028-F140-4B40-96EF-BA5B01A5A3C1}">
      <formula1>0</formula1>
    </dataValidation>
    <dataValidation type="date" allowBlank="1" showInputMessage="1" showErrorMessage="1" sqref="X12:X111" xr:uid="{9972D398-5AAA-46AE-8651-D7157BE5858A}">
      <formula1>44562</formula1>
      <formula2>47848</formula2>
    </dataValidation>
    <dataValidation type="whole" operator="greaterThanOrEqual" allowBlank="1" showInputMessage="1" showErrorMessage="1" sqref="P12:P111 H12:H111" xr:uid="{456BC672-2418-430D-A725-79CAB1750A90}">
      <formula1>0</formula1>
    </dataValidation>
  </dataValidations>
  <hyperlinks>
    <hyperlink ref="T10" r:id="rId1" xr:uid="{26398EC8-5B1F-43EA-8C15-20618751C712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M10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45CE69D-1CCC-4713-A347-20BE7E53FC1A}">
          <x14:formula1>
            <xm:f>Z!$A$2:$A$4111</xm:f>
          </x14:formula1>
          <xm:sqref>V12:V111 E12:E111</xm:sqref>
        </x14:dataValidation>
        <x14:dataValidation type="list" allowBlank="1" showInputMessage="1" showErrorMessage="1" xr:uid="{3B09E048-9B5C-4561-A17E-DD5D8680C713}">
          <x14:formula1>
            <xm:f>Y!$F$2:$F$10</xm:f>
          </x14:formula1>
          <xm:sqref>G12:G111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I59"/>
  <sheetViews>
    <sheetView zoomScale="130" zoomScaleNormal="130" workbookViewId="0">
      <selection activeCell="D57" sqref="D57"/>
    </sheetView>
  </sheetViews>
  <sheetFormatPr defaultColWidth="9.140625" defaultRowHeight="12.75" x14ac:dyDescent="0.2"/>
  <cols>
    <col min="1" max="1" width="9.140625" style="2"/>
    <col min="2" max="4" width="25.7109375" style="2" customWidth="1"/>
    <col min="5" max="5" width="9.140625" style="2"/>
    <col min="6" max="6" width="13.5703125" style="2" bestFit="1" customWidth="1"/>
    <col min="7" max="16384" width="9.140625" style="2"/>
  </cols>
  <sheetData>
    <row r="1" spans="1:9" x14ac:dyDescent="0.2">
      <c r="A1" s="2">
        <v>1</v>
      </c>
      <c r="B1" s="3" t="s">
        <v>4468</v>
      </c>
      <c r="C1" s="3" t="s">
        <v>4472</v>
      </c>
      <c r="D1" s="3" t="s">
        <v>4499</v>
      </c>
      <c r="G1" s="37" t="s">
        <v>4554</v>
      </c>
      <c r="H1" s="37" t="s">
        <v>4555</v>
      </c>
      <c r="I1" s="37" t="s">
        <v>4583</v>
      </c>
    </row>
    <row r="2" spans="1:9" x14ac:dyDescent="0.2">
      <c r="A2" s="2">
        <v>2</v>
      </c>
      <c r="B2" s="3" t="s">
        <v>4470</v>
      </c>
      <c r="C2" s="3" t="s">
        <v>4471</v>
      </c>
      <c r="D2" s="3" t="s">
        <v>4498</v>
      </c>
      <c r="F2" s="3" t="s">
        <v>4546</v>
      </c>
      <c r="G2" s="3">
        <v>128.07</v>
      </c>
      <c r="H2" s="3">
        <v>124.85</v>
      </c>
      <c r="I2" s="3">
        <v>1450</v>
      </c>
    </row>
    <row r="3" spans="1:9" x14ac:dyDescent="0.2">
      <c r="A3" s="2">
        <v>3</v>
      </c>
      <c r="B3" s="3" t="s">
        <v>4527</v>
      </c>
      <c r="C3" s="3" t="s">
        <v>4529</v>
      </c>
      <c r="D3" s="3" t="s">
        <v>4531</v>
      </c>
      <c r="F3" s="3" t="s">
        <v>4547</v>
      </c>
      <c r="G3" s="3">
        <v>130.27000000000001</v>
      </c>
      <c r="H3" s="3">
        <v>127.06</v>
      </c>
      <c r="I3" s="3">
        <v>2900</v>
      </c>
    </row>
    <row r="4" spans="1:9" x14ac:dyDescent="0.2">
      <c r="A4" s="2">
        <v>4</v>
      </c>
      <c r="B4" s="3" t="s">
        <v>4528</v>
      </c>
      <c r="C4" s="3" t="s">
        <v>4530</v>
      </c>
      <c r="D4" s="3" t="s">
        <v>4532</v>
      </c>
      <c r="F4" s="3" t="s">
        <v>4548</v>
      </c>
      <c r="G4" s="3">
        <v>128.46</v>
      </c>
      <c r="H4" s="3">
        <v>125.46</v>
      </c>
      <c r="I4" s="3">
        <v>1450</v>
      </c>
    </row>
    <row r="5" spans="1:9" x14ac:dyDescent="0.2">
      <c r="A5" s="2">
        <v>5</v>
      </c>
      <c r="B5" s="3" t="s">
        <v>4473</v>
      </c>
      <c r="C5" s="3" t="s">
        <v>4474</v>
      </c>
      <c r="D5" s="3" t="s">
        <v>4507</v>
      </c>
      <c r="F5" s="3" t="s">
        <v>4549</v>
      </c>
      <c r="G5" s="3">
        <v>130.77000000000001</v>
      </c>
      <c r="H5" s="3">
        <v>127.75</v>
      </c>
      <c r="I5" s="3">
        <v>2900</v>
      </c>
    </row>
    <row r="6" spans="1:9" x14ac:dyDescent="0.2">
      <c r="A6" s="2">
        <v>6</v>
      </c>
      <c r="B6" s="3" t="s">
        <v>4486</v>
      </c>
      <c r="C6" s="3" t="s">
        <v>4487</v>
      </c>
      <c r="D6" s="3" t="s">
        <v>4510</v>
      </c>
      <c r="F6" s="3" t="s">
        <v>4550</v>
      </c>
      <c r="G6" s="3">
        <v>132.30000000000001</v>
      </c>
      <c r="H6" s="3">
        <v>128.97999999999999</v>
      </c>
      <c r="I6" s="3">
        <v>1450</v>
      </c>
    </row>
    <row r="7" spans="1:9" x14ac:dyDescent="0.2">
      <c r="A7" s="2">
        <v>7</v>
      </c>
      <c r="B7" s="3" t="s">
        <v>4488</v>
      </c>
      <c r="C7" s="3" t="s">
        <v>4489</v>
      </c>
      <c r="D7" s="3" t="s">
        <v>4511</v>
      </c>
      <c r="F7" s="3" t="s">
        <v>4551</v>
      </c>
      <c r="G7" s="3">
        <v>133.69</v>
      </c>
      <c r="H7" s="3">
        <v>129.83000000000001</v>
      </c>
      <c r="I7" s="3">
        <v>2900</v>
      </c>
    </row>
    <row r="8" spans="1:9" x14ac:dyDescent="0.2">
      <c r="A8" s="2">
        <v>8</v>
      </c>
      <c r="B8" s="3" t="s">
        <v>4491</v>
      </c>
      <c r="C8" s="3" t="s">
        <v>4490</v>
      </c>
      <c r="D8" s="3" t="s">
        <v>4512</v>
      </c>
      <c r="F8" s="3" t="s">
        <v>4569</v>
      </c>
      <c r="G8" s="3">
        <v>130.38</v>
      </c>
      <c r="H8" s="3">
        <v>125.48</v>
      </c>
      <c r="I8" s="3">
        <v>1450</v>
      </c>
    </row>
    <row r="9" spans="1:9" x14ac:dyDescent="0.2">
      <c r="A9" s="2">
        <v>9</v>
      </c>
      <c r="B9" s="3" t="s">
        <v>4493</v>
      </c>
      <c r="C9" s="3" t="s">
        <v>4492</v>
      </c>
      <c r="D9" s="3" t="s">
        <v>4513</v>
      </c>
      <c r="F9" s="3" t="s">
        <v>4552</v>
      </c>
      <c r="G9" s="3">
        <v>133.94999999999999</v>
      </c>
      <c r="H9" s="3">
        <v>130.37</v>
      </c>
      <c r="I9" s="3">
        <v>2900</v>
      </c>
    </row>
    <row r="10" spans="1:9" x14ac:dyDescent="0.2">
      <c r="A10" s="2">
        <v>10</v>
      </c>
      <c r="B10" s="3" t="s">
        <v>4475</v>
      </c>
      <c r="C10" s="3" t="s">
        <v>4476</v>
      </c>
      <c r="D10" s="3" t="s">
        <v>4476</v>
      </c>
      <c r="F10" s="3" t="s">
        <v>4553</v>
      </c>
      <c r="G10" s="3">
        <v>128.79</v>
      </c>
      <c r="H10" s="3">
        <v>123.84</v>
      </c>
      <c r="I10" s="3">
        <v>2900</v>
      </c>
    </row>
    <row r="11" spans="1:9" x14ac:dyDescent="0.2">
      <c r="A11" s="2">
        <v>11</v>
      </c>
      <c r="B11" s="3" t="s">
        <v>4477</v>
      </c>
      <c r="C11" s="3" t="s">
        <v>4478</v>
      </c>
      <c r="D11" s="3" t="s">
        <v>4500</v>
      </c>
    </row>
    <row r="12" spans="1:9" x14ac:dyDescent="0.2">
      <c r="A12" s="2">
        <v>12</v>
      </c>
      <c r="B12" s="3" t="s">
        <v>4479</v>
      </c>
      <c r="C12" s="3" t="s">
        <v>4479</v>
      </c>
      <c r="D12" s="3" t="s">
        <v>4501</v>
      </c>
      <c r="F12" s="3" t="s">
        <v>4544</v>
      </c>
      <c r="G12" s="3" t="s">
        <v>4535</v>
      </c>
    </row>
    <row r="13" spans="1:9" x14ac:dyDescent="0.2">
      <c r="A13" s="2">
        <v>13</v>
      </c>
      <c r="B13" s="3" t="s">
        <v>4466</v>
      </c>
      <c r="C13" s="3" t="s">
        <v>4482</v>
      </c>
      <c r="D13" s="3" t="s">
        <v>4502</v>
      </c>
      <c r="F13" s="3" t="s">
        <v>4536</v>
      </c>
      <c r="G13" s="3" t="s">
        <v>4537</v>
      </c>
    </row>
    <row r="14" spans="1:9" x14ac:dyDescent="0.2">
      <c r="A14" s="2">
        <v>14</v>
      </c>
      <c r="B14" s="3" t="s">
        <v>4480</v>
      </c>
      <c r="C14" s="3" t="s">
        <v>4481</v>
      </c>
      <c r="D14" s="3" t="s">
        <v>4503</v>
      </c>
      <c r="F14" s="3" t="s">
        <v>4538</v>
      </c>
      <c r="G14" s="3" t="s">
        <v>4539</v>
      </c>
    </row>
    <row r="15" spans="1:9" x14ac:dyDescent="0.2">
      <c r="A15" s="2">
        <v>15</v>
      </c>
      <c r="B15" s="3" t="s">
        <v>0</v>
      </c>
      <c r="C15" s="3" t="s">
        <v>4483</v>
      </c>
      <c r="D15" s="3" t="s">
        <v>4504</v>
      </c>
      <c r="F15" s="3" t="s">
        <v>4540</v>
      </c>
      <c r="G15" s="3" t="s">
        <v>4541</v>
      </c>
    </row>
    <row r="16" spans="1:9" x14ac:dyDescent="0.2">
      <c r="A16" s="2">
        <v>16</v>
      </c>
      <c r="B16" s="3" t="s">
        <v>4515</v>
      </c>
      <c r="C16" s="3" t="s">
        <v>4516</v>
      </c>
      <c r="D16" s="3" t="s">
        <v>4517</v>
      </c>
      <c r="F16" s="3" t="s">
        <v>4542</v>
      </c>
      <c r="G16" s="3" t="s">
        <v>4543</v>
      </c>
    </row>
    <row r="17" spans="1:4" x14ac:dyDescent="0.2">
      <c r="A17" s="2">
        <v>17</v>
      </c>
      <c r="B17" s="3" t="s">
        <v>4520</v>
      </c>
      <c r="C17" s="3" t="s">
        <v>4518</v>
      </c>
      <c r="D17" s="3" t="s">
        <v>4519</v>
      </c>
    </row>
    <row r="18" spans="1:4" x14ac:dyDescent="0.2">
      <c r="A18" s="2">
        <v>18</v>
      </c>
      <c r="B18" s="3" t="s">
        <v>4475</v>
      </c>
      <c r="C18" s="3" t="s">
        <v>4476</v>
      </c>
      <c r="D18" s="3" t="s">
        <v>4476</v>
      </c>
    </row>
    <row r="19" spans="1:4" x14ac:dyDescent="0.2">
      <c r="A19" s="2">
        <v>19</v>
      </c>
      <c r="B19" s="3" t="s">
        <v>4594</v>
      </c>
      <c r="C19" s="3" t="s">
        <v>4594</v>
      </c>
      <c r="D19" s="32" t="s">
        <v>4612</v>
      </c>
    </row>
    <row r="20" spans="1:4" x14ac:dyDescent="0.2">
      <c r="A20" s="2">
        <v>20</v>
      </c>
      <c r="B20" s="3" t="s">
        <v>4581</v>
      </c>
      <c r="C20" s="3" t="s">
        <v>4484</v>
      </c>
      <c r="D20" s="32" t="s">
        <v>4505</v>
      </c>
    </row>
    <row r="21" spans="1:4" x14ac:dyDescent="0.2">
      <c r="A21" s="2">
        <v>21</v>
      </c>
      <c r="B21" s="3"/>
      <c r="C21" s="3"/>
      <c r="D21" s="32"/>
    </row>
    <row r="22" spans="1:4" x14ac:dyDescent="0.2">
      <c r="A22" s="2">
        <v>22</v>
      </c>
      <c r="B22" s="3" t="s">
        <v>4509</v>
      </c>
      <c r="C22" s="3" t="s">
        <v>4496</v>
      </c>
      <c r="D22" s="32" t="s">
        <v>4497</v>
      </c>
    </row>
    <row r="23" spans="1:4" x14ac:dyDescent="0.2">
      <c r="A23" s="2">
        <v>23</v>
      </c>
      <c r="B23" s="3" t="s">
        <v>4595</v>
      </c>
      <c r="C23" s="3" t="s">
        <v>4523</v>
      </c>
      <c r="D23" s="32" t="s">
        <v>4524</v>
      </c>
    </row>
    <row r="24" spans="1:4" x14ac:dyDescent="0.2">
      <c r="A24" s="2">
        <v>24</v>
      </c>
      <c r="B24" s="3" t="s">
        <v>4596</v>
      </c>
      <c r="C24" s="3" t="s">
        <v>4525</v>
      </c>
      <c r="D24" s="32" t="s">
        <v>4526</v>
      </c>
    </row>
    <row r="25" spans="1:4" x14ac:dyDescent="0.2">
      <c r="A25" s="2">
        <v>25</v>
      </c>
      <c r="B25" s="3"/>
      <c r="C25" s="3"/>
      <c r="D25" s="32"/>
    </row>
    <row r="26" spans="1:4" x14ac:dyDescent="0.2">
      <c r="A26" s="2">
        <v>26</v>
      </c>
      <c r="B26" s="3" t="s">
        <v>4485</v>
      </c>
      <c r="C26" s="3" t="s">
        <v>4462</v>
      </c>
      <c r="D26" s="32" t="s">
        <v>4506</v>
      </c>
    </row>
    <row r="27" spans="1:4" x14ac:dyDescent="0.2">
      <c r="A27" s="2">
        <v>27</v>
      </c>
      <c r="B27" s="3" t="s">
        <v>4494</v>
      </c>
      <c r="C27" s="3" t="s">
        <v>4495</v>
      </c>
      <c r="D27" s="32" t="s">
        <v>4514</v>
      </c>
    </row>
    <row r="28" spans="1:4" ht="25.5" x14ac:dyDescent="0.2">
      <c r="A28" s="2">
        <v>28</v>
      </c>
      <c r="B28" s="3" t="s">
        <v>4609</v>
      </c>
      <c r="C28" s="3" t="s">
        <v>4610</v>
      </c>
      <c r="D28" s="32" t="s">
        <v>4613</v>
      </c>
    </row>
    <row r="29" spans="1:4" x14ac:dyDescent="0.2">
      <c r="A29" s="2">
        <v>29</v>
      </c>
      <c r="B29" s="3" t="s">
        <v>4597</v>
      </c>
      <c r="C29" s="32" t="s">
        <v>4598</v>
      </c>
      <c r="D29" s="32" t="s">
        <v>4599</v>
      </c>
    </row>
    <row r="30" spans="1:4" x14ac:dyDescent="0.2">
      <c r="A30" s="2">
        <v>30</v>
      </c>
      <c r="B30" s="3"/>
      <c r="C30" s="3"/>
      <c r="D30" s="32"/>
    </row>
    <row r="31" spans="1:4" x14ac:dyDescent="0.2">
      <c r="A31" s="2">
        <v>31</v>
      </c>
      <c r="B31" s="32"/>
      <c r="C31" s="32"/>
      <c r="D31" s="32"/>
    </row>
    <row r="32" spans="1:4" x14ac:dyDescent="0.2">
      <c r="A32" s="2">
        <v>32</v>
      </c>
      <c r="B32" s="3"/>
      <c r="C32" s="3"/>
      <c r="D32" s="32"/>
    </row>
    <row r="33" spans="1:4" x14ac:dyDescent="0.2">
      <c r="A33" s="2">
        <v>33</v>
      </c>
      <c r="B33" s="3"/>
      <c r="C33" s="3"/>
      <c r="D33" s="32"/>
    </row>
    <row r="34" spans="1:4" x14ac:dyDescent="0.2">
      <c r="A34" s="2">
        <v>34</v>
      </c>
      <c r="B34" s="3"/>
      <c r="C34" s="3"/>
      <c r="D34" s="32"/>
    </row>
    <row r="35" spans="1:4" x14ac:dyDescent="0.2">
      <c r="A35" s="2">
        <v>35</v>
      </c>
      <c r="B35" s="3"/>
      <c r="C35" s="3"/>
      <c r="D35" s="32"/>
    </row>
    <row r="36" spans="1:4" x14ac:dyDescent="0.2">
      <c r="A36" s="2">
        <v>36</v>
      </c>
      <c r="B36" s="32" t="s">
        <v>4562</v>
      </c>
      <c r="C36" s="32" t="s">
        <v>4563</v>
      </c>
      <c r="D36" s="32" t="s">
        <v>4614</v>
      </c>
    </row>
    <row r="37" spans="1:4" x14ac:dyDescent="0.2">
      <c r="A37" s="2">
        <v>37</v>
      </c>
      <c r="B37" s="32"/>
      <c r="C37" s="32"/>
      <c r="D37" s="32"/>
    </row>
    <row r="38" spans="1:4" x14ac:dyDescent="0.2">
      <c r="A38" s="2">
        <v>38</v>
      </c>
      <c r="B38" s="3" t="s">
        <v>4582</v>
      </c>
      <c r="C38" s="3" t="s">
        <v>4572</v>
      </c>
      <c r="D38" s="32" t="s">
        <v>4573</v>
      </c>
    </row>
    <row r="39" spans="1:4" x14ac:dyDescent="0.2">
      <c r="A39" s="2">
        <v>39</v>
      </c>
      <c r="B39" s="3"/>
      <c r="C39" s="3"/>
      <c r="D39" s="32"/>
    </row>
    <row r="40" spans="1:4" x14ac:dyDescent="0.2">
      <c r="A40" s="2">
        <v>40</v>
      </c>
      <c r="B40" s="3" t="s">
        <v>4556</v>
      </c>
      <c r="C40" s="3" t="s">
        <v>4557</v>
      </c>
      <c r="D40" s="32" t="s">
        <v>4558</v>
      </c>
    </row>
    <row r="41" spans="1:4" x14ac:dyDescent="0.2">
      <c r="A41" s="2">
        <v>41</v>
      </c>
      <c r="B41" s="3"/>
      <c r="C41" s="3"/>
      <c r="D41" s="32"/>
    </row>
    <row r="42" spans="1:4" x14ac:dyDescent="0.2">
      <c r="A42" s="2">
        <v>42</v>
      </c>
      <c r="B42" s="32" t="s">
        <v>4600</v>
      </c>
      <c r="C42" s="3" t="s">
        <v>4604</v>
      </c>
      <c r="D42" s="32" t="s">
        <v>4615</v>
      </c>
    </row>
    <row r="43" spans="1:4" x14ac:dyDescent="0.2">
      <c r="A43" s="2">
        <v>43</v>
      </c>
      <c r="B43" s="3" t="s">
        <v>4601</v>
      </c>
      <c r="C43" s="3" t="s">
        <v>4606</v>
      </c>
      <c r="D43" s="32" t="s">
        <v>4616</v>
      </c>
    </row>
    <row r="44" spans="1:4" x14ac:dyDescent="0.2">
      <c r="A44" s="2">
        <v>44</v>
      </c>
      <c r="B44" s="3"/>
      <c r="C44" s="3"/>
      <c r="D44" s="32"/>
    </row>
    <row r="45" spans="1:4" x14ac:dyDescent="0.2">
      <c r="A45" s="2">
        <v>45</v>
      </c>
      <c r="B45" s="3"/>
      <c r="C45" s="3"/>
      <c r="D45" s="3"/>
    </row>
    <row r="46" spans="1:4" x14ac:dyDescent="0.2">
      <c r="A46" s="2">
        <v>46</v>
      </c>
      <c r="B46" s="3"/>
      <c r="C46" s="3"/>
      <c r="D46" s="3"/>
    </row>
    <row r="47" spans="1:4" x14ac:dyDescent="0.2">
      <c r="A47" s="2">
        <v>47</v>
      </c>
      <c r="B47" s="3"/>
      <c r="C47" s="3"/>
      <c r="D47" s="3"/>
    </row>
    <row r="48" spans="1:4" x14ac:dyDescent="0.2">
      <c r="A48" s="2">
        <v>48</v>
      </c>
      <c r="B48" s="3"/>
      <c r="C48" s="3"/>
      <c r="D48" s="3"/>
    </row>
    <row r="49" spans="1:4" x14ac:dyDescent="0.2">
      <c r="A49" s="2">
        <v>49</v>
      </c>
      <c r="B49" s="3"/>
      <c r="C49" s="3"/>
      <c r="D49" s="3"/>
    </row>
    <row r="50" spans="1:4" x14ac:dyDescent="0.2">
      <c r="A50" s="2">
        <v>50</v>
      </c>
      <c r="B50" s="3"/>
      <c r="C50" s="3"/>
      <c r="D50" s="3"/>
    </row>
    <row r="51" spans="1:4" x14ac:dyDescent="0.2">
      <c r="A51" s="2">
        <v>51</v>
      </c>
      <c r="B51" s="3"/>
      <c r="C51" s="3"/>
      <c r="D51" s="3"/>
    </row>
    <row r="52" spans="1:4" x14ac:dyDescent="0.2">
      <c r="A52" s="2">
        <v>52</v>
      </c>
      <c r="B52" s="3"/>
      <c r="C52" s="3"/>
      <c r="D52" s="3"/>
    </row>
    <row r="53" spans="1:4" x14ac:dyDescent="0.2">
      <c r="A53" s="2">
        <v>53</v>
      </c>
      <c r="B53" s="3"/>
      <c r="C53" s="3"/>
      <c r="D53" s="3"/>
    </row>
    <row r="54" spans="1:4" x14ac:dyDescent="0.2">
      <c r="A54" s="2">
        <v>54</v>
      </c>
      <c r="B54" s="32"/>
      <c r="C54" s="32"/>
      <c r="D54" s="32"/>
    </row>
    <row r="55" spans="1:4" x14ac:dyDescent="0.2">
      <c r="A55" s="2">
        <v>55</v>
      </c>
      <c r="B55" s="3"/>
      <c r="C55" s="3"/>
      <c r="D55" s="3"/>
    </row>
    <row r="56" spans="1:4" x14ac:dyDescent="0.2">
      <c r="A56" s="2">
        <v>56</v>
      </c>
      <c r="B56" s="3"/>
      <c r="C56" s="3"/>
      <c r="D56" s="3"/>
    </row>
    <row r="57" spans="1:4" x14ac:dyDescent="0.2">
      <c r="A57" s="2">
        <v>57</v>
      </c>
      <c r="B57" s="3" t="s">
        <v>4602</v>
      </c>
      <c r="C57" s="3" t="s">
        <v>4605</v>
      </c>
      <c r="D57" s="3" t="s">
        <v>4617</v>
      </c>
    </row>
    <row r="58" spans="1:4" x14ac:dyDescent="0.2">
      <c r="A58" s="2">
        <v>58</v>
      </c>
      <c r="B58" s="3" t="s">
        <v>4603</v>
      </c>
      <c r="C58" s="3" t="s">
        <v>4607</v>
      </c>
      <c r="D58" s="3" t="s">
        <v>4618</v>
      </c>
    </row>
    <row r="59" spans="1:4" x14ac:dyDescent="0.2">
      <c r="A59" s="2">
        <v>59</v>
      </c>
      <c r="B59" s="3"/>
      <c r="C59" s="3"/>
      <c r="D59" s="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topLeftCell="A2" workbookViewId="0">
      <selection activeCell="G20" sqref="G20"/>
    </sheetView>
  </sheetViews>
  <sheetFormatPr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4467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Liste</vt:lpstr>
      <vt:lpstr>Y</vt:lpstr>
      <vt:lpstr>Z</vt:lpstr>
      <vt:lpstr>Trad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Stadler Paul BFE</cp:lastModifiedBy>
  <dcterms:created xsi:type="dcterms:W3CDTF">2015-06-05T18:19:34Z</dcterms:created>
  <dcterms:modified xsi:type="dcterms:W3CDTF">2024-11-28T14:31:32Z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2024-11-28T14:26:13Z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eabab2eb-e1dc-4336-8042-05aa20be786b</vt:lpwstr>
  </property>
  <property fmtid="{D5CDD505-2E9C-101B-9397-08002B2CF9AE}" pid="8" name="MSIP_Label_245c3252-146d-46f3-8062-82cd8c8d7e7d_ContentBits">
    <vt:lpwstr>0</vt:lpwstr>
  </property>
</Properties>
</file>