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5558\AppData\Local\rubicon\Acta Nova Client\Data\412306057\"/>
    </mc:Choice>
  </mc:AlternateContent>
  <xr:revisionPtr revIDLastSave="0" documentId="13_ncr:1_{94DC71A4-1FFA-4567-84B4-452BB379DF01}" xr6:coauthVersionLast="47" xr6:coauthVersionMax="47" xr10:uidLastSave="{00000000-0000-0000-0000-000000000000}"/>
  <workbookProtection workbookAlgorithmName="SHA-512" workbookHashValue="AhhrbxtreY2ZujHHf9SvFtR3bjALuB70Ul6ug4n5r15zZeLi/EpFWsynWUy4rr7Pt5vOlkgj6Fn5GNQRswoRHA==" workbookSaltValue="RctRfEt5PMqREeDtiTiELw==" workbookSpinCount="100000" lockStructure="1"/>
  <bookViews>
    <workbookView xWindow="28680" yWindow="-6165" windowWidth="29040" windowHeight="15720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Clean">Y!$B$50:$D$51</definedName>
    <definedName name="Loc">Y!$B$83:$D$85</definedName>
    <definedName name="Medium">Y!$B$48:$D$49</definedName>
    <definedName name="Trad">Y!$B$1:$D$85</definedName>
    <definedName name="Use">Y!$B$40:$F$46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A13" i="1" l="1"/>
  <c r="BA14" i="1"/>
  <c r="BA15" i="1"/>
  <c r="BA16" i="1"/>
  <c r="BR16" i="1" s="1"/>
  <c r="BA17" i="1"/>
  <c r="BA18" i="1"/>
  <c r="BA19" i="1"/>
  <c r="CD19" i="1" s="1"/>
  <c r="BA20" i="1"/>
  <c r="BF20" i="1" s="1"/>
  <c r="BA21" i="1"/>
  <c r="BA22" i="1"/>
  <c r="BA23" i="1"/>
  <c r="BA24" i="1"/>
  <c r="BR24" i="1" s="1"/>
  <c r="BA25" i="1"/>
  <c r="BA26" i="1"/>
  <c r="BA27" i="1"/>
  <c r="CD27" i="1" s="1"/>
  <c r="BA28" i="1"/>
  <c r="BF28" i="1" s="1"/>
  <c r="BA29" i="1"/>
  <c r="BA30" i="1"/>
  <c r="BA31" i="1"/>
  <c r="BA32" i="1"/>
  <c r="BR32" i="1" s="1"/>
  <c r="BA33" i="1"/>
  <c r="BA34" i="1"/>
  <c r="BA35" i="1"/>
  <c r="CD35" i="1" s="1"/>
  <c r="BA36" i="1"/>
  <c r="BF36" i="1" s="1"/>
  <c r="BA37" i="1"/>
  <c r="BA38" i="1"/>
  <c r="BA39" i="1"/>
  <c r="BA40" i="1"/>
  <c r="BR40" i="1" s="1"/>
  <c r="BA41" i="1"/>
  <c r="BA42" i="1"/>
  <c r="BA43" i="1"/>
  <c r="CD43" i="1" s="1"/>
  <c r="BA44" i="1"/>
  <c r="BF44" i="1" s="1"/>
  <c r="BA45" i="1"/>
  <c r="BA46" i="1"/>
  <c r="BA47" i="1"/>
  <c r="BA48" i="1"/>
  <c r="BR48" i="1" s="1"/>
  <c r="BA49" i="1"/>
  <c r="BA50" i="1"/>
  <c r="BA51" i="1"/>
  <c r="CD51" i="1" s="1"/>
  <c r="BA52" i="1"/>
  <c r="BF52" i="1" s="1"/>
  <c r="BA53" i="1"/>
  <c r="BA54" i="1"/>
  <c r="BA55" i="1"/>
  <c r="BA56" i="1"/>
  <c r="BR56" i="1" s="1"/>
  <c r="BA57" i="1"/>
  <c r="BA58" i="1"/>
  <c r="BA59" i="1"/>
  <c r="CD59" i="1" s="1"/>
  <c r="BA60" i="1"/>
  <c r="BF60" i="1" s="1"/>
  <c r="BA61" i="1"/>
  <c r="BA62" i="1"/>
  <c r="BA63" i="1"/>
  <c r="BA64" i="1"/>
  <c r="BR64" i="1" s="1"/>
  <c r="BA65" i="1"/>
  <c r="BA66" i="1"/>
  <c r="BA67" i="1"/>
  <c r="CD67" i="1" s="1"/>
  <c r="BA68" i="1"/>
  <c r="BF68" i="1" s="1"/>
  <c r="BA69" i="1"/>
  <c r="BA70" i="1"/>
  <c r="BA71" i="1"/>
  <c r="BA72" i="1"/>
  <c r="BR72" i="1" s="1"/>
  <c r="BA73" i="1"/>
  <c r="BA74" i="1"/>
  <c r="BA75" i="1"/>
  <c r="CD75" i="1" s="1"/>
  <c r="BA76" i="1"/>
  <c r="BF76" i="1" s="1"/>
  <c r="BA77" i="1"/>
  <c r="BA78" i="1"/>
  <c r="BA79" i="1"/>
  <c r="BA80" i="1"/>
  <c r="BR80" i="1" s="1"/>
  <c r="BA81" i="1"/>
  <c r="BA82" i="1"/>
  <c r="BA83" i="1"/>
  <c r="CD83" i="1" s="1"/>
  <c r="BA84" i="1"/>
  <c r="BF84" i="1" s="1"/>
  <c r="BA85" i="1"/>
  <c r="BA86" i="1"/>
  <c r="BA87" i="1"/>
  <c r="BA88" i="1"/>
  <c r="BR88" i="1" s="1"/>
  <c r="BA89" i="1"/>
  <c r="BA90" i="1"/>
  <c r="BA91" i="1"/>
  <c r="CD91" i="1" s="1"/>
  <c r="BA92" i="1"/>
  <c r="BF92" i="1" s="1"/>
  <c r="BA93" i="1"/>
  <c r="BA94" i="1"/>
  <c r="BA95" i="1"/>
  <c r="BA96" i="1"/>
  <c r="BR96" i="1" s="1"/>
  <c r="BA97" i="1"/>
  <c r="BA98" i="1"/>
  <c r="BA99" i="1"/>
  <c r="CD99" i="1" s="1"/>
  <c r="BA100" i="1"/>
  <c r="BF100" i="1" s="1"/>
  <c r="BA101" i="1"/>
  <c r="BA102" i="1"/>
  <c r="BA103" i="1"/>
  <c r="BA104" i="1"/>
  <c r="BR104" i="1" s="1"/>
  <c r="BA105" i="1"/>
  <c r="BA106" i="1"/>
  <c r="BA107" i="1"/>
  <c r="CD107" i="1" s="1"/>
  <c r="BA108" i="1"/>
  <c r="BF108" i="1" s="1"/>
  <c r="BA109" i="1"/>
  <c r="BA110" i="1"/>
  <c r="BA111" i="1"/>
  <c r="BA12" i="1"/>
  <c r="CL13" i="1"/>
  <c r="CL14" i="1"/>
  <c r="CL15" i="1"/>
  <c r="CL16" i="1"/>
  <c r="CL17" i="1"/>
  <c r="CL18" i="1"/>
  <c r="CL21" i="1"/>
  <c r="CL22" i="1"/>
  <c r="CL23" i="1"/>
  <c r="CL24" i="1"/>
  <c r="CL25" i="1"/>
  <c r="CL26" i="1"/>
  <c r="CL29" i="1"/>
  <c r="CL30" i="1"/>
  <c r="CL31" i="1"/>
  <c r="CL32" i="1"/>
  <c r="CL33" i="1"/>
  <c r="CL34" i="1"/>
  <c r="CL37" i="1"/>
  <c r="CL38" i="1"/>
  <c r="CL39" i="1"/>
  <c r="CL40" i="1"/>
  <c r="CL41" i="1"/>
  <c r="CL42" i="1"/>
  <c r="CL45" i="1"/>
  <c r="CL46" i="1"/>
  <c r="CL47" i="1"/>
  <c r="CL48" i="1"/>
  <c r="CL49" i="1"/>
  <c r="CL50" i="1"/>
  <c r="CL53" i="1"/>
  <c r="CL54" i="1"/>
  <c r="CL55" i="1"/>
  <c r="CL56" i="1"/>
  <c r="CL57" i="1"/>
  <c r="CL58" i="1"/>
  <c r="CL61" i="1"/>
  <c r="CL62" i="1"/>
  <c r="CL63" i="1"/>
  <c r="CL64" i="1"/>
  <c r="CL65" i="1"/>
  <c r="CL66" i="1"/>
  <c r="CL69" i="1"/>
  <c r="CL70" i="1"/>
  <c r="CL71" i="1"/>
  <c r="CL72" i="1"/>
  <c r="CL73" i="1"/>
  <c r="CL74" i="1"/>
  <c r="CL77" i="1"/>
  <c r="CL78" i="1"/>
  <c r="CL79" i="1"/>
  <c r="CL80" i="1"/>
  <c r="CL81" i="1"/>
  <c r="CL82" i="1"/>
  <c r="CL85" i="1"/>
  <c r="CL86" i="1"/>
  <c r="CL87" i="1"/>
  <c r="CL88" i="1"/>
  <c r="CL89" i="1"/>
  <c r="CL90" i="1"/>
  <c r="CL93" i="1"/>
  <c r="CL94" i="1"/>
  <c r="CL95" i="1"/>
  <c r="CL96" i="1"/>
  <c r="CL97" i="1"/>
  <c r="CL98" i="1"/>
  <c r="CL101" i="1"/>
  <c r="CL102" i="1"/>
  <c r="CL103" i="1"/>
  <c r="CL104" i="1"/>
  <c r="CL105" i="1"/>
  <c r="CL106" i="1"/>
  <c r="CL109" i="1"/>
  <c r="CL110" i="1"/>
  <c r="CL111" i="1"/>
  <c r="CH13" i="1"/>
  <c r="CH14" i="1"/>
  <c r="CH15" i="1"/>
  <c r="CH17" i="1"/>
  <c r="CH18" i="1"/>
  <c r="CH21" i="1"/>
  <c r="CH22" i="1"/>
  <c r="CH23" i="1"/>
  <c r="CH25" i="1"/>
  <c r="CH26" i="1"/>
  <c r="CH29" i="1"/>
  <c r="CH30" i="1"/>
  <c r="CH31" i="1"/>
  <c r="CH33" i="1"/>
  <c r="CH34" i="1"/>
  <c r="CH37" i="1"/>
  <c r="CH38" i="1"/>
  <c r="CH39" i="1"/>
  <c r="CH41" i="1"/>
  <c r="CH42" i="1"/>
  <c r="CH45" i="1"/>
  <c r="CH46" i="1"/>
  <c r="CH47" i="1"/>
  <c r="CH49" i="1"/>
  <c r="CH50" i="1"/>
  <c r="CH53" i="1"/>
  <c r="CH54" i="1"/>
  <c r="CH55" i="1"/>
  <c r="CH57" i="1"/>
  <c r="CH58" i="1"/>
  <c r="CH61" i="1"/>
  <c r="CH62" i="1"/>
  <c r="CH63" i="1"/>
  <c r="CH65" i="1"/>
  <c r="CH66" i="1"/>
  <c r="CH69" i="1"/>
  <c r="CH70" i="1"/>
  <c r="CH71" i="1"/>
  <c r="CH73" i="1"/>
  <c r="CH74" i="1"/>
  <c r="CH77" i="1"/>
  <c r="CH78" i="1"/>
  <c r="CH79" i="1"/>
  <c r="CH81" i="1"/>
  <c r="CH82" i="1"/>
  <c r="CH85" i="1"/>
  <c r="CH86" i="1"/>
  <c r="CH87" i="1"/>
  <c r="CH89" i="1"/>
  <c r="CH90" i="1"/>
  <c r="CH93" i="1"/>
  <c r="CH94" i="1"/>
  <c r="CH95" i="1"/>
  <c r="CH97" i="1"/>
  <c r="CH98" i="1"/>
  <c r="CH101" i="1"/>
  <c r="CH102" i="1"/>
  <c r="CH103" i="1"/>
  <c r="CH105" i="1"/>
  <c r="CH106" i="1"/>
  <c r="CH109" i="1"/>
  <c r="CH110" i="1"/>
  <c r="CH111" i="1"/>
  <c r="CD13" i="1"/>
  <c r="CD14" i="1"/>
  <c r="CD15" i="1"/>
  <c r="CD17" i="1"/>
  <c r="CD18" i="1"/>
  <c r="CD21" i="1"/>
  <c r="CD22" i="1"/>
  <c r="CD23" i="1"/>
  <c r="CD25" i="1"/>
  <c r="CD26" i="1"/>
  <c r="CD29" i="1"/>
  <c r="CD30" i="1"/>
  <c r="CD31" i="1"/>
  <c r="CD33" i="1"/>
  <c r="CD34" i="1"/>
  <c r="CD37" i="1"/>
  <c r="CD38" i="1"/>
  <c r="CD39" i="1"/>
  <c r="CD41" i="1"/>
  <c r="CD42" i="1"/>
  <c r="CD45" i="1"/>
  <c r="CD46" i="1"/>
  <c r="CD47" i="1"/>
  <c r="CD49" i="1"/>
  <c r="CD50" i="1"/>
  <c r="CD53" i="1"/>
  <c r="CD54" i="1"/>
  <c r="CD55" i="1"/>
  <c r="CD57" i="1"/>
  <c r="CD58" i="1"/>
  <c r="CD61" i="1"/>
  <c r="CD62" i="1"/>
  <c r="CD63" i="1"/>
  <c r="CD65" i="1"/>
  <c r="CD66" i="1"/>
  <c r="CD69" i="1"/>
  <c r="CD70" i="1"/>
  <c r="CD71" i="1"/>
  <c r="CD73" i="1"/>
  <c r="CD74" i="1"/>
  <c r="CD77" i="1"/>
  <c r="CD78" i="1"/>
  <c r="CD79" i="1"/>
  <c r="CD81" i="1"/>
  <c r="CD82" i="1"/>
  <c r="CD85" i="1"/>
  <c r="CD86" i="1"/>
  <c r="CD87" i="1"/>
  <c r="CD89" i="1"/>
  <c r="CD90" i="1"/>
  <c r="CD93" i="1"/>
  <c r="CD94" i="1"/>
  <c r="CD95" i="1"/>
  <c r="CD97" i="1"/>
  <c r="CD98" i="1"/>
  <c r="CD101" i="1"/>
  <c r="CD102" i="1"/>
  <c r="CD103" i="1"/>
  <c r="CD105" i="1"/>
  <c r="CD106" i="1"/>
  <c r="CD109" i="1"/>
  <c r="CD110" i="1"/>
  <c r="CD111" i="1"/>
  <c r="BR13" i="1"/>
  <c r="BR14" i="1"/>
  <c r="BR15" i="1"/>
  <c r="BR17" i="1"/>
  <c r="BR18" i="1"/>
  <c r="BR21" i="1"/>
  <c r="BR22" i="1"/>
  <c r="BR23" i="1"/>
  <c r="BR25" i="1"/>
  <c r="BR26" i="1"/>
  <c r="BR29" i="1"/>
  <c r="BR30" i="1"/>
  <c r="BR31" i="1"/>
  <c r="BR33" i="1"/>
  <c r="BR34" i="1"/>
  <c r="BR37" i="1"/>
  <c r="BR38" i="1"/>
  <c r="BR39" i="1"/>
  <c r="BR41" i="1"/>
  <c r="BR42" i="1"/>
  <c r="BR45" i="1"/>
  <c r="BR46" i="1"/>
  <c r="BR47" i="1"/>
  <c r="BR49" i="1"/>
  <c r="BR50" i="1"/>
  <c r="BR53" i="1"/>
  <c r="BR54" i="1"/>
  <c r="BR55" i="1"/>
  <c r="BR57" i="1"/>
  <c r="BR58" i="1"/>
  <c r="BR61" i="1"/>
  <c r="BR62" i="1"/>
  <c r="BR63" i="1"/>
  <c r="BR65" i="1"/>
  <c r="BR66" i="1"/>
  <c r="BR69" i="1"/>
  <c r="BR70" i="1"/>
  <c r="BR71" i="1"/>
  <c r="BR73" i="1"/>
  <c r="BR74" i="1"/>
  <c r="BR77" i="1"/>
  <c r="BR78" i="1"/>
  <c r="BR79" i="1"/>
  <c r="BR81" i="1"/>
  <c r="BR82" i="1"/>
  <c r="BR85" i="1"/>
  <c r="BR86" i="1"/>
  <c r="BR87" i="1"/>
  <c r="BR89" i="1"/>
  <c r="BR90" i="1"/>
  <c r="BR93" i="1"/>
  <c r="BR94" i="1"/>
  <c r="BR95" i="1"/>
  <c r="BR97" i="1"/>
  <c r="BR98" i="1"/>
  <c r="BR101" i="1"/>
  <c r="BR102" i="1"/>
  <c r="BR103" i="1"/>
  <c r="BR105" i="1"/>
  <c r="BR106" i="1"/>
  <c r="BR109" i="1"/>
  <c r="BR110" i="1"/>
  <c r="BR111" i="1"/>
  <c r="BN13" i="1"/>
  <c r="BN14" i="1"/>
  <c r="BN15" i="1"/>
  <c r="BN16" i="1"/>
  <c r="BN17" i="1"/>
  <c r="BN18" i="1"/>
  <c r="BN19" i="1"/>
  <c r="BN20" i="1"/>
  <c r="BN21" i="1"/>
  <c r="BN22" i="1"/>
  <c r="BN23" i="1"/>
  <c r="BN24" i="1"/>
  <c r="BN25" i="1"/>
  <c r="BN26" i="1"/>
  <c r="BN27" i="1"/>
  <c r="BN28" i="1"/>
  <c r="BN29" i="1"/>
  <c r="BN30" i="1"/>
  <c r="BN31" i="1"/>
  <c r="BN32" i="1"/>
  <c r="BN33" i="1"/>
  <c r="BN34" i="1"/>
  <c r="BN35" i="1"/>
  <c r="BN36" i="1"/>
  <c r="BN37" i="1"/>
  <c r="BN38" i="1"/>
  <c r="BN39" i="1"/>
  <c r="BN40" i="1"/>
  <c r="BN41" i="1"/>
  <c r="BN42" i="1"/>
  <c r="BN43" i="1"/>
  <c r="BN44" i="1"/>
  <c r="BN45" i="1"/>
  <c r="BN46" i="1"/>
  <c r="BN47" i="1"/>
  <c r="BN48" i="1"/>
  <c r="BN49" i="1"/>
  <c r="BN50" i="1"/>
  <c r="BN51" i="1"/>
  <c r="BN52" i="1"/>
  <c r="BN53" i="1"/>
  <c r="BN54" i="1"/>
  <c r="BN55" i="1"/>
  <c r="BN56" i="1"/>
  <c r="BN57" i="1"/>
  <c r="BN58" i="1"/>
  <c r="BN59" i="1"/>
  <c r="BN60" i="1"/>
  <c r="BN61" i="1"/>
  <c r="BN62" i="1"/>
  <c r="BN63" i="1"/>
  <c r="BN64" i="1"/>
  <c r="BN65" i="1"/>
  <c r="BN66" i="1"/>
  <c r="BN67" i="1"/>
  <c r="BN68" i="1"/>
  <c r="BN69" i="1"/>
  <c r="BN70" i="1"/>
  <c r="BN71" i="1"/>
  <c r="BN72" i="1"/>
  <c r="BN73" i="1"/>
  <c r="BN74" i="1"/>
  <c r="BN75" i="1"/>
  <c r="BN76" i="1"/>
  <c r="BN77" i="1"/>
  <c r="BN78" i="1"/>
  <c r="BN79" i="1"/>
  <c r="BN80" i="1"/>
  <c r="BN81" i="1"/>
  <c r="BN82" i="1"/>
  <c r="BN83" i="1"/>
  <c r="BN84" i="1"/>
  <c r="BN85" i="1"/>
  <c r="BN86" i="1"/>
  <c r="BN87" i="1"/>
  <c r="BN88" i="1"/>
  <c r="BN89" i="1"/>
  <c r="BN90" i="1"/>
  <c r="BN91" i="1"/>
  <c r="BN92" i="1"/>
  <c r="BN93" i="1"/>
  <c r="BN94" i="1"/>
  <c r="BN95" i="1"/>
  <c r="BN96" i="1"/>
  <c r="BN97" i="1"/>
  <c r="BN98" i="1"/>
  <c r="BN99" i="1"/>
  <c r="BN100" i="1"/>
  <c r="BN101" i="1"/>
  <c r="BN102" i="1"/>
  <c r="BN103" i="1"/>
  <c r="BN104" i="1"/>
  <c r="BN105" i="1"/>
  <c r="BN106" i="1"/>
  <c r="BN107" i="1"/>
  <c r="BN108" i="1"/>
  <c r="BN109" i="1"/>
  <c r="BN110" i="1"/>
  <c r="BN111" i="1"/>
  <c r="BJ13" i="1"/>
  <c r="BJ14" i="1"/>
  <c r="BJ15" i="1"/>
  <c r="BJ16" i="1"/>
  <c r="BJ17" i="1"/>
  <c r="BJ18" i="1"/>
  <c r="BJ21" i="1"/>
  <c r="BJ22" i="1"/>
  <c r="BJ23" i="1"/>
  <c r="BJ24" i="1"/>
  <c r="BJ25" i="1"/>
  <c r="BJ26" i="1"/>
  <c r="BJ29" i="1"/>
  <c r="BJ30" i="1"/>
  <c r="BJ31" i="1"/>
  <c r="BJ32" i="1"/>
  <c r="BJ33" i="1"/>
  <c r="BJ34" i="1"/>
  <c r="BJ37" i="1"/>
  <c r="BJ38" i="1"/>
  <c r="BJ39" i="1"/>
  <c r="BJ40" i="1"/>
  <c r="BJ41" i="1"/>
  <c r="BJ42" i="1"/>
  <c r="BJ45" i="1"/>
  <c r="BJ46" i="1"/>
  <c r="BJ47" i="1"/>
  <c r="BJ48" i="1"/>
  <c r="BJ49" i="1"/>
  <c r="BJ50" i="1"/>
  <c r="BJ53" i="1"/>
  <c r="BJ54" i="1"/>
  <c r="BJ55" i="1"/>
  <c r="BJ56" i="1"/>
  <c r="BJ57" i="1"/>
  <c r="BJ58" i="1"/>
  <c r="BJ61" i="1"/>
  <c r="BJ62" i="1"/>
  <c r="BJ63" i="1"/>
  <c r="BJ64" i="1"/>
  <c r="BJ65" i="1"/>
  <c r="BJ66" i="1"/>
  <c r="BJ69" i="1"/>
  <c r="BJ70" i="1"/>
  <c r="BJ71" i="1"/>
  <c r="BJ72" i="1"/>
  <c r="BJ73" i="1"/>
  <c r="BJ74" i="1"/>
  <c r="BJ77" i="1"/>
  <c r="BJ78" i="1"/>
  <c r="BJ79" i="1"/>
  <c r="BJ80" i="1"/>
  <c r="BJ81" i="1"/>
  <c r="BJ82" i="1"/>
  <c r="BJ85" i="1"/>
  <c r="BJ86" i="1"/>
  <c r="BJ87" i="1"/>
  <c r="BJ88" i="1"/>
  <c r="BJ89" i="1"/>
  <c r="BJ90" i="1"/>
  <c r="BJ93" i="1"/>
  <c r="BJ94" i="1"/>
  <c r="BJ95" i="1"/>
  <c r="BJ96" i="1"/>
  <c r="BJ97" i="1"/>
  <c r="BJ98" i="1"/>
  <c r="BJ101" i="1"/>
  <c r="BJ102" i="1"/>
  <c r="BJ103" i="1"/>
  <c r="BJ104" i="1"/>
  <c r="BJ105" i="1"/>
  <c r="BJ106" i="1"/>
  <c r="BJ109" i="1"/>
  <c r="BJ110" i="1"/>
  <c r="BJ111" i="1"/>
  <c r="BZ13" i="1"/>
  <c r="BZ14" i="1"/>
  <c r="BZ15" i="1"/>
  <c r="BZ17" i="1"/>
  <c r="BZ18" i="1"/>
  <c r="BZ21" i="1"/>
  <c r="BZ22" i="1"/>
  <c r="BZ23" i="1"/>
  <c r="BZ25" i="1"/>
  <c r="BZ26" i="1"/>
  <c r="BZ29" i="1"/>
  <c r="BZ30" i="1"/>
  <c r="BZ31" i="1"/>
  <c r="BZ33" i="1"/>
  <c r="BZ34" i="1"/>
  <c r="BZ37" i="1"/>
  <c r="BZ38" i="1"/>
  <c r="BZ39" i="1"/>
  <c r="BZ41" i="1"/>
  <c r="BZ42" i="1"/>
  <c r="BZ45" i="1"/>
  <c r="BZ46" i="1"/>
  <c r="BZ47" i="1"/>
  <c r="BZ49" i="1"/>
  <c r="BZ50" i="1"/>
  <c r="BZ53" i="1"/>
  <c r="BZ54" i="1"/>
  <c r="BZ55" i="1"/>
  <c r="BZ57" i="1"/>
  <c r="BZ58" i="1"/>
  <c r="BZ61" i="1"/>
  <c r="BZ62" i="1"/>
  <c r="BZ63" i="1"/>
  <c r="BZ65" i="1"/>
  <c r="BZ66" i="1"/>
  <c r="BZ69" i="1"/>
  <c r="BZ70" i="1"/>
  <c r="BZ71" i="1"/>
  <c r="BZ73" i="1"/>
  <c r="BZ74" i="1"/>
  <c r="BZ77" i="1"/>
  <c r="BZ78" i="1"/>
  <c r="BZ79" i="1"/>
  <c r="BZ81" i="1"/>
  <c r="BZ82" i="1"/>
  <c r="BZ85" i="1"/>
  <c r="BZ86" i="1"/>
  <c r="BZ87" i="1"/>
  <c r="BZ89" i="1"/>
  <c r="BZ90" i="1"/>
  <c r="BZ93" i="1"/>
  <c r="BZ94" i="1"/>
  <c r="BZ95" i="1"/>
  <c r="BZ97" i="1"/>
  <c r="BZ98" i="1"/>
  <c r="BZ101" i="1"/>
  <c r="BZ102" i="1"/>
  <c r="BZ103" i="1"/>
  <c r="BZ105" i="1"/>
  <c r="BZ106" i="1"/>
  <c r="BZ109" i="1"/>
  <c r="BZ110" i="1"/>
  <c r="BZ111" i="1"/>
  <c r="BF13" i="1"/>
  <c r="BF14" i="1"/>
  <c r="BF15" i="1"/>
  <c r="BF16" i="1"/>
  <c r="BF17" i="1"/>
  <c r="BF18" i="1"/>
  <c r="BF19" i="1"/>
  <c r="BF21" i="1"/>
  <c r="BF22" i="1"/>
  <c r="BF23" i="1"/>
  <c r="BF24" i="1"/>
  <c r="BF25" i="1"/>
  <c r="BF26" i="1"/>
  <c r="BF27" i="1"/>
  <c r="BF29" i="1"/>
  <c r="BF30" i="1"/>
  <c r="BF31" i="1"/>
  <c r="BF32" i="1"/>
  <c r="BF33" i="1"/>
  <c r="BF34" i="1"/>
  <c r="BF35" i="1"/>
  <c r="BF37" i="1"/>
  <c r="BF38" i="1"/>
  <c r="BF39" i="1"/>
  <c r="BF40" i="1"/>
  <c r="BF41" i="1"/>
  <c r="BF42" i="1"/>
  <c r="BF43" i="1"/>
  <c r="BF45" i="1"/>
  <c r="BF46" i="1"/>
  <c r="BF47" i="1"/>
  <c r="BF48" i="1"/>
  <c r="BF49" i="1"/>
  <c r="BF50" i="1"/>
  <c r="BF51" i="1"/>
  <c r="BF53" i="1"/>
  <c r="BF54" i="1"/>
  <c r="BF55" i="1"/>
  <c r="BF56" i="1"/>
  <c r="BF57" i="1"/>
  <c r="BF58" i="1"/>
  <c r="BF59" i="1"/>
  <c r="BF61" i="1"/>
  <c r="BF62" i="1"/>
  <c r="BF63" i="1"/>
  <c r="BF64" i="1"/>
  <c r="BF65" i="1"/>
  <c r="BF66" i="1"/>
  <c r="BF67" i="1"/>
  <c r="BF69" i="1"/>
  <c r="BF70" i="1"/>
  <c r="BF71" i="1"/>
  <c r="BF72" i="1"/>
  <c r="BF73" i="1"/>
  <c r="BF74" i="1"/>
  <c r="BF75" i="1"/>
  <c r="BF77" i="1"/>
  <c r="BF78" i="1"/>
  <c r="BF79" i="1"/>
  <c r="BF80" i="1"/>
  <c r="BF81" i="1"/>
  <c r="BF82" i="1"/>
  <c r="BF83" i="1"/>
  <c r="BF85" i="1"/>
  <c r="BF86" i="1"/>
  <c r="BF87" i="1"/>
  <c r="BF88" i="1"/>
  <c r="BF89" i="1"/>
  <c r="BF90" i="1"/>
  <c r="BF91" i="1"/>
  <c r="BF93" i="1"/>
  <c r="BF94" i="1"/>
  <c r="BF95" i="1"/>
  <c r="BF96" i="1"/>
  <c r="BF97" i="1"/>
  <c r="BF98" i="1"/>
  <c r="BF99" i="1"/>
  <c r="BF101" i="1"/>
  <c r="BF102" i="1"/>
  <c r="BF103" i="1"/>
  <c r="BF104" i="1"/>
  <c r="BF105" i="1"/>
  <c r="BF106" i="1"/>
  <c r="BF107" i="1"/>
  <c r="BF109" i="1"/>
  <c r="BF110" i="1"/>
  <c r="BF111" i="1"/>
  <c r="BX13" i="1"/>
  <c r="BX14" i="1"/>
  <c r="BX15" i="1"/>
  <c r="BX16" i="1"/>
  <c r="BX17" i="1"/>
  <c r="BX18" i="1"/>
  <c r="BX19" i="1"/>
  <c r="BX20" i="1"/>
  <c r="BX21" i="1"/>
  <c r="BX22" i="1"/>
  <c r="BX23" i="1"/>
  <c r="BX24" i="1"/>
  <c r="BX25" i="1"/>
  <c r="BX26" i="1"/>
  <c r="BX27" i="1"/>
  <c r="BX28" i="1"/>
  <c r="BX29" i="1"/>
  <c r="BX30" i="1"/>
  <c r="BX31" i="1"/>
  <c r="BX32" i="1"/>
  <c r="BX33" i="1"/>
  <c r="BX34" i="1"/>
  <c r="BX35" i="1"/>
  <c r="BX36" i="1"/>
  <c r="BX37" i="1"/>
  <c r="BX38" i="1"/>
  <c r="BX39" i="1"/>
  <c r="BX40" i="1"/>
  <c r="BX41" i="1"/>
  <c r="BX42" i="1"/>
  <c r="BX43" i="1"/>
  <c r="BX44" i="1"/>
  <c r="BX45" i="1"/>
  <c r="BX46" i="1"/>
  <c r="BX47" i="1"/>
  <c r="BX48" i="1"/>
  <c r="BX49" i="1"/>
  <c r="BX50" i="1"/>
  <c r="BX51" i="1"/>
  <c r="BX52" i="1"/>
  <c r="BX53" i="1"/>
  <c r="BX54" i="1"/>
  <c r="BX55" i="1"/>
  <c r="BX56" i="1"/>
  <c r="BX57" i="1"/>
  <c r="BX58" i="1"/>
  <c r="BX59" i="1"/>
  <c r="BX60" i="1"/>
  <c r="BX61" i="1"/>
  <c r="BX62" i="1"/>
  <c r="BX63" i="1"/>
  <c r="BX64" i="1"/>
  <c r="BX65" i="1"/>
  <c r="BX66" i="1"/>
  <c r="BX67" i="1"/>
  <c r="BX68" i="1"/>
  <c r="BX69" i="1"/>
  <c r="BX70" i="1"/>
  <c r="BX71" i="1"/>
  <c r="BX72" i="1"/>
  <c r="BX73" i="1"/>
  <c r="BX74" i="1"/>
  <c r="BX75" i="1"/>
  <c r="BX76" i="1"/>
  <c r="BX77" i="1"/>
  <c r="BX78" i="1"/>
  <c r="BX79" i="1"/>
  <c r="BX80" i="1"/>
  <c r="BX81" i="1"/>
  <c r="BX82" i="1"/>
  <c r="BX83" i="1"/>
  <c r="BX84" i="1"/>
  <c r="BX85" i="1"/>
  <c r="BX86" i="1"/>
  <c r="BX87" i="1"/>
  <c r="BX88" i="1"/>
  <c r="BX89" i="1"/>
  <c r="BX90" i="1"/>
  <c r="BX91" i="1"/>
  <c r="BX92" i="1"/>
  <c r="BX93" i="1"/>
  <c r="BX94" i="1"/>
  <c r="BX95" i="1"/>
  <c r="BX96" i="1"/>
  <c r="BX97" i="1"/>
  <c r="BX98" i="1"/>
  <c r="BX99" i="1"/>
  <c r="BX100" i="1"/>
  <c r="BX101" i="1"/>
  <c r="BX102" i="1"/>
  <c r="BX103" i="1"/>
  <c r="BX104" i="1"/>
  <c r="BX105" i="1"/>
  <c r="BX106" i="1"/>
  <c r="BX107" i="1"/>
  <c r="BX108" i="1"/>
  <c r="BX109" i="1"/>
  <c r="BX110" i="1"/>
  <c r="BX111" i="1"/>
  <c r="BX12" i="1"/>
  <c r="CL12" i="1" s="1"/>
  <c r="M15" i="1" a="1"/>
  <c r="M15" i="1" s="1"/>
  <c r="M16" i="1" a="1"/>
  <c r="M16" i="1" s="1"/>
  <c r="M17" i="1" a="1"/>
  <c r="M17" i="1" s="1"/>
  <c r="M18" i="1" a="1"/>
  <c r="M18" i="1" s="1"/>
  <c r="M19" i="1" a="1"/>
  <c r="M19" i="1" s="1"/>
  <c r="M20" i="1" a="1"/>
  <c r="M20" i="1" s="1"/>
  <c r="M21" i="1" a="1"/>
  <c r="M21" i="1" s="1"/>
  <c r="M22" i="1" a="1"/>
  <c r="M22" i="1" s="1"/>
  <c r="M23" i="1" a="1"/>
  <c r="M23" i="1" s="1"/>
  <c r="M24" i="1" a="1"/>
  <c r="M24" i="1" s="1"/>
  <c r="M25" i="1" a="1"/>
  <c r="M25" i="1" s="1"/>
  <c r="M26" i="1" a="1"/>
  <c r="M26" i="1" s="1"/>
  <c r="M27" i="1" a="1"/>
  <c r="M27" i="1" s="1"/>
  <c r="M28" i="1" a="1"/>
  <c r="M28" i="1" s="1"/>
  <c r="M29" i="1" a="1"/>
  <c r="M29" i="1" s="1"/>
  <c r="M30" i="1" a="1"/>
  <c r="M30" i="1" s="1"/>
  <c r="M31" i="1" a="1"/>
  <c r="M31" i="1" s="1"/>
  <c r="M32" i="1" a="1"/>
  <c r="M32" i="1" s="1"/>
  <c r="M33" i="1" a="1"/>
  <c r="M33" i="1" s="1"/>
  <c r="M34" i="1" a="1"/>
  <c r="M34" i="1" s="1"/>
  <c r="M35" i="1" a="1"/>
  <c r="M35" i="1" s="1"/>
  <c r="M36" i="1" a="1"/>
  <c r="M36" i="1" s="1"/>
  <c r="M37" i="1" a="1"/>
  <c r="M37" i="1" s="1"/>
  <c r="M38" i="1" a="1"/>
  <c r="M38" i="1" s="1"/>
  <c r="M39" i="1" a="1"/>
  <c r="M39" i="1" s="1"/>
  <c r="M40" i="1" a="1"/>
  <c r="M40" i="1" s="1"/>
  <c r="M41" i="1" a="1"/>
  <c r="M41" i="1" s="1"/>
  <c r="M42" i="1" a="1"/>
  <c r="M42" i="1" s="1"/>
  <c r="M43" i="1" a="1"/>
  <c r="M43" i="1" s="1"/>
  <c r="M44" i="1" a="1"/>
  <c r="M44" i="1" s="1"/>
  <c r="M45" i="1" a="1"/>
  <c r="M45" i="1" s="1"/>
  <c r="M46" i="1" a="1"/>
  <c r="M46" i="1" s="1"/>
  <c r="M47" i="1" a="1"/>
  <c r="M47" i="1" s="1"/>
  <c r="M48" i="1" a="1"/>
  <c r="M48" i="1" s="1"/>
  <c r="M49" i="1" a="1"/>
  <c r="M49" i="1" s="1"/>
  <c r="M50" i="1" a="1"/>
  <c r="M50" i="1" s="1"/>
  <c r="M51" i="1" a="1"/>
  <c r="M51" i="1" s="1"/>
  <c r="M52" i="1" a="1"/>
  <c r="M52" i="1" s="1"/>
  <c r="M53" i="1" a="1"/>
  <c r="M53" i="1" s="1"/>
  <c r="M54" i="1" a="1"/>
  <c r="M54" i="1" s="1"/>
  <c r="M55" i="1" a="1"/>
  <c r="M55" i="1" s="1"/>
  <c r="M56" i="1" a="1"/>
  <c r="M56" i="1" s="1"/>
  <c r="M57" i="1" a="1"/>
  <c r="M57" i="1" s="1"/>
  <c r="M58" i="1" a="1"/>
  <c r="M58" i="1" s="1"/>
  <c r="M59" i="1" a="1"/>
  <c r="M59" i="1" s="1"/>
  <c r="M60" i="1" a="1"/>
  <c r="M60" i="1" s="1"/>
  <c r="M61" i="1" a="1"/>
  <c r="M61" i="1" s="1"/>
  <c r="M62" i="1" a="1"/>
  <c r="M62" i="1" s="1"/>
  <c r="M63" i="1" a="1"/>
  <c r="M63" i="1" s="1"/>
  <c r="M64" i="1" a="1"/>
  <c r="M64" i="1" s="1"/>
  <c r="M65" i="1" a="1"/>
  <c r="M65" i="1" s="1"/>
  <c r="M66" i="1" a="1"/>
  <c r="M66" i="1" s="1"/>
  <c r="M67" i="1" a="1"/>
  <c r="M67" i="1" s="1"/>
  <c r="M68" i="1" a="1"/>
  <c r="M68" i="1" s="1"/>
  <c r="M69" i="1" a="1"/>
  <c r="M69" i="1" s="1"/>
  <c r="M70" i="1" a="1"/>
  <c r="M70" i="1" s="1"/>
  <c r="M71" i="1" a="1"/>
  <c r="M71" i="1" s="1"/>
  <c r="M72" i="1" a="1"/>
  <c r="M72" i="1" s="1"/>
  <c r="M73" i="1" a="1"/>
  <c r="M73" i="1" s="1"/>
  <c r="M74" i="1" a="1"/>
  <c r="M74" i="1" s="1"/>
  <c r="M75" i="1" a="1"/>
  <c r="M75" i="1" s="1"/>
  <c r="M76" i="1" a="1"/>
  <c r="M76" i="1" s="1"/>
  <c r="M77" i="1" a="1"/>
  <c r="M77" i="1" s="1"/>
  <c r="M78" i="1" a="1"/>
  <c r="M78" i="1" s="1"/>
  <c r="M79" i="1" a="1"/>
  <c r="M79" i="1" s="1"/>
  <c r="M80" i="1" a="1"/>
  <c r="M80" i="1" s="1"/>
  <c r="M81" i="1" a="1"/>
  <c r="M81" i="1" s="1"/>
  <c r="M82" i="1" a="1"/>
  <c r="M82" i="1" s="1"/>
  <c r="M83" i="1" a="1"/>
  <c r="M83" i="1" s="1"/>
  <c r="M84" i="1" a="1"/>
  <c r="M84" i="1" s="1"/>
  <c r="M85" i="1" a="1"/>
  <c r="M85" i="1" s="1"/>
  <c r="M86" i="1" a="1"/>
  <c r="M86" i="1" s="1"/>
  <c r="M87" i="1" a="1"/>
  <c r="M87" i="1" s="1"/>
  <c r="M88" i="1" a="1"/>
  <c r="M88" i="1" s="1"/>
  <c r="M89" i="1" a="1"/>
  <c r="M89" i="1" s="1"/>
  <c r="M90" i="1" a="1"/>
  <c r="M90" i="1" s="1"/>
  <c r="M91" i="1" a="1"/>
  <c r="M91" i="1" s="1"/>
  <c r="M92" i="1" a="1"/>
  <c r="M92" i="1" s="1"/>
  <c r="M93" i="1" a="1"/>
  <c r="M93" i="1" s="1"/>
  <c r="M94" i="1" a="1"/>
  <c r="M94" i="1" s="1"/>
  <c r="M95" i="1" a="1"/>
  <c r="M95" i="1" s="1"/>
  <c r="M96" i="1" a="1"/>
  <c r="M96" i="1" s="1"/>
  <c r="M97" i="1" a="1"/>
  <c r="M97" i="1" s="1"/>
  <c r="M98" i="1" a="1"/>
  <c r="M98" i="1" s="1"/>
  <c r="M99" i="1" a="1"/>
  <c r="M99" i="1" s="1"/>
  <c r="M100" i="1" a="1"/>
  <c r="M100" i="1" s="1"/>
  <c r="M101" i="1" a="1"/>
  <c r="M101" i="1" s="1"/>
  <c r="M102" i="1" a="1"/>
  <c r="M102" i="1" s="1"/>
  <c r="M103" i="1" a="1"/>
  <c r="M103" i="1" s="1"/>
  <c r="M104" i="1" a="1"/>
  <c r="M104" i="1" s="1"/>
  <c r="M105" i="1" a="1"/>
  <c r="M105" i="1" s="1"/>
  <c r="M106" i="1" a="1"/>
  <c r="M106" i="1" s="1"/>
  <c r="M107" i="1" a="1"/>
  <c r="M107" i="1" s="1"/>
  <c r="M108" i="1" a="1"/>
  <c r="M108" i="1" s="1"/>
  <c r="M109" i="1" a="1"/>
  <c r="M109" i="1" s="1"/>
  <c r="M110" i="1" a="1"/>
  <c r="M110" i="1" s="1"/>
  <c r="M111" i="1" a="1"/>
  <c r="M111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 s="1"/>
  <c r="R45" i="1" a="1"/>
  <c r="R45" i="1" s="1"/>
  <c r="R46" i="1" a="1"/>
  <c r="R46" i="1" s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53" i="1" a="1"/>
  <c r="R53" i="1" s="1"/>
  <c r="R54" i="1" a="1"/>
  <c r="R54" i="1" s="1"/>
  <c r="R55" i="1" a="1"/>
  <c r="R55" i="1" s="1"/>
  <c r="R56" i="1" a="1"/>
  <c r="R56" i="1" s="1"/>
  <c r="R57" i="1" a="1"/>
  <c r="R57" i="1" s="1"/>
  <c r="R58" i="1" a="1"/>
  <c r="R58" i="1" s="1"/>
  <c r="R59" i="1" a="1"/>
  <c r="R59" i="1" s="1"/>
  <c r="R60" i="1" a="1"/>
  <c r="R60" i="1" s="1"/>
  <c r="R61" i="1" a="1"/>
  <c r="R61" i="1" s="1"/>
  <c r="R62" i="1" a="1"/>
  <c r="R62" i="1" s="1"/>
  <c r="R63" i="1" a="1"/>
  <c r="R63" i="1" s="1"/>
  <c r="R64" i="1" a="1"/>
  <c r="R64" i="1" s="1"/>
  <c r="R65" i="1" a="1"/>
  <c r="R65" i="1" s="1"/>
  <c r="R66" i="1" a="1"/>
  <c r="R66" i="1" s="1"/>
  <c r="R67" i="1" a="1"/>
  <c r="R67" i="1" s="1"/>
  <c r="R68" i="1" a="1"/>
  <c r="R68" i="1" s="1"/>
  <c r="R69" i="1" a="1"/>
  <c r="R69" i="1" s="1"/>
  <c r="R70" i="1" a="1"/>
  <c r="R70" i="1" s="1"/>
  <c r="R71" i="1" a="1"/>
  <c r="R71" i="1" s="1"/>
  <c r="R72" i="1" a="1"/>
  <c r="R72" i="1" s="1"/>
  <c r="R73" i="1" a="1"/>
  <c r="R73" i="1" s="1"/>
  <c r="R74" i="1" a="1"/>
  <c r="R74" i="1" s="1"/>
  <c r="R75" i="1" a="1"/>
  <c r="R75" i="1" s="1"/>
  <c r="R76" i="1" a="1"/>
  <c r="R76" i="1" s="1"/>
  <c r="R77" i="1" a="1"/>
  <c r="R77" i="1" s="1"/>
  <c r="R78" i="1" a="1"/>
  <c r="R78" i="1" s="1"/>
  <c r="R79" i="1" a="1"/>
  <c r="R79" i="1" s="1"/>
  <c r="R80" i="1" a="1"/>
  <c r="R80" i="1" s="1"/>
  <c r="R81" i="1" a="1"/>
  <c r="R81" i="1" s="1"/>
  <c r="R82" i="1" a="1"/>
  <c r="R82" i="1" s="1"/>
  <c r="R83" i="1" a="1"/>
  <c r="R83" i="1" s="1"/>
  <c r="R84" i="1" a="1"/>
  <c r="R84" i="1" s="1"/>
  <c r="R85" i="1" a="1"/>
  <c r="R85" i="1" s="1"/>
  <c r="R86" i="1" a="1"/>
  <c r="R86" i="1" s="1"/>
  <c r="R87" i="1" a="1"/>
  <c r="R87" i="1" s="1"/>
  <c r="R88" i="1" a="1"/>
  <c r="R88" i="1" s="1"/>
  <c r="R89" i="1" a="1"/>
  <c r="R89" i="1" s="1"/>
  <c r="R90" i="1" a="1"/>
  <c r="R90" i="1" s="1"/>
  <c r="R91" i="1" a="1"/>
  <c r="R91" i="1" s="1"/>
  <c r="R92" i="1" a="1"/>
  <c r="R92" i="1" s="1"/>
  <c r="R93" i="1" a="1"/>
  <c r="R93" i="1" s="1"/>
  <c r="R94" i="1" a="1"/>
  <c r="R94" i="1" s="1"/>
  <c r="R95" i="1" a="1"/>
  <c r="R95" i="1" s="1"/>
  <c r="R96" i="1" a="1"/>
  <c r="R96" i="1" s="1"/>
  <c r="R97" i="1" a="1"/>
  <c r="R97" i="1" s="1"/>
  <c r="R98" i="1" a="1"/>
  <c r="R98" i="1" s="1"/>
  <c r="R99" i="1" a="1"/>
  <c r="R99" i="1" s="1"/>
  <c r="R100" i="1" a="1"/>
  <c r="R100" i="1" s="1"/>
  <c r="R101" i="1" a="1"/>
  <c r="R101" i="1" s="1"/>
  <c r="R102" i="1" a="1"/>
  <c r="R102" i="1" s="1"/>
  <c r="R103" i="1" a="1"/>
  <c r="R103" i="1" s="1"/>
  <c r="R104" i="1" a="1"/>
  <c r="R104" i="1" s="1"/>
  <c r="R105" i="1" a="1"/>
  <c r="R105" i="1" s="1"/>
  <c r="R106" i="1" a="1"/>
  <c r="R106" i="1" s="1"/>
  <c r="R107" i="1" a="1"/>
  <c r="R107" i="1" s="1"/>
  <c r="R108" i="1" a="1"/>
  <c r="R108" i="1" s="1"/>
  <c r="R109" i="1" a="1"/>
  <c r="R109" i="1" s="1"/>
  <c r="R110" i="1" a="1"/>
  <c r="R110" i="1" s="1"/>
  <c r="R111" i="1" a="1"/>
  <c r="R111" i="1" s="1"/>
  <c r="BC15" i="1" a="1"/>
  <c r="BC15" i="1" s="1"/>
  <c r="BC16" i="1" a="1"/>
  <c r="BC16" i="1" s="1"/>
  <c r="BC17" i="1" a="1"/>
  <c r="BC17" i="1" s="1"/>
  <c r="BC18" i="1" a="1"/>
  <c r="BC18" i="1" s="1"/>
  <c r="BC19" i="1" a="1"/>
  <c r="BC19" i="1" s="1"/>
  <c r="BC20" i="1" a="1"/>
  <c r="BC20" i="1" s="1"/>
  <c r="BC21" i="1" a="1"/>
  <c r="BC21" i="1" s="1"/>
  <c r="BC22" i="1" a="1"/>
  <c r="BC22" i="1" s="1"/>
  <c r="BC23" i="1" a="1"/>
  <c r="BC23" i="1" s="1"/>
  <c r="BC24" i="1" a="1"/>
  <c r="BC24" i="1" s="1"/>
  <c r="BC25" i="1" a="1"/>
  <c r="BC25" i="1" s="1"/>
  <c r="BC26" i="1" a="1"/>
  <c r="BC26" i="1" s="1"/>
  <c r="BC27" i="1" a="1"/>
  <c r="BC27" i="1" s="1"/>
  <c r="BC28" i="1" a="1"/>
  <c r="BC28" i="1" s="1"/>
  <c r="BC29" i="1" a="1"/>
  <c r="BC29" i="1" s="1"/>
  <c r="BC30" i="1" a="1"/>
  <c r="BC30" i="1" s="1"/>
  <c r="BC31" i="1" a="1"/>
  <c r="BC31" i="1" s="1"/>
  <c r="BC32" i="1" a="1"/>
  <c r="BC32" i="1" s="1"/>
  <c r="BC33" i="1" a="1"/>
  <c r="BC33" i="1" s="1"/>
  <c r="BC34" i="1" a="1"/>
  <c r="BC34" i="1" s="1"/>
  <c r="BC35" i="1" a="1"/>
  <c r="BC35" i="1" s="1"/>
  <c r="BC36" i="1" a="1"/>
  <c r="BC36" i="1" s="1"/>
  <c r="BC37" i="1" a="1"/>
  <c r="BC37" i="1" s="1"/>
  <c r="BC38" i="1" a="1"/>
  <c r="BC38" i="1" s="1"/>
  <c r="BC39" i="1" a="1"/>
  <c r="BC39" i="1" s="1"/>
  <c r="BC40" i="1" a="1"/>
  <c r="BC40" i="1" s="1"/>
  <c r="BC41" i="1" a="1"/>
  <c r="BC41" i="1" s="1"/>
  <c r="BC42" i="1" a="1"/>
  <c r="BC42" i="1" s="1"/>
  <c r="BC43" i="1" a="1"/>
  <c r="BC43" i="1" s="1"/>
  <c r="BC44" i="1" a="1"/>
  <c r="BC44" i="1" s="1"/>
  <c r="BC45" i="1" a="1"/>
  <c r="BC45" i="1" s="1"/>
  <c r="BC46" i="1" a="1"/>
  <c r="BC46" i="1" s="1"/>
  <c r="BC47" i="1" a="1"/>
  <c r="BC47" i="1" s="1"/>
  <c r="BC48" i="1" a="1"/>
  <c r="BC48" i="1" s="1"/>
  <c r="BC49" i="1" a="1"/>
  <c r="BC49" i="1" s="1"/>
  <c r="BC50" i="1" a="1"/>
  <c r="BC50" i="1" s="1"/>
  <c r="BC51" i="1" a="1"/>
  <c r="BC51" i="1" s="1"/>
  <c r="BC52" i="1" a="1"/>
  <c r="BC52" i="1" s="1"/>
  <c r="BC53" i="1" a="1"/>
  <c r="BC53" i="1" s="1"/>
  <c r="BC54" i="1" a="1"/>
  <c r="BC54" i="1" s="1"/>
  <c r="BC55" i="1" a="1"/>
  <c r="BC55" i="1" s="1"/>
  <c r="BC56" i="1" a="1"/>
  <c r="BC56" i="1" s="1"/>
  <c r="BC57" i="1" a="1"/>
  <c r="BC57" i="1" s="1"/>
  <c r="BC58" i="1" a="1"/>
  <c r="BC58" i="1" s="1"/>
  <c r="BC59" i="1" a="1"/>
  <c r="BC59" i="1" s="1"/>
  <c r="BC60" i="1" a="1"/>
  <c r="BC60" i="1" s="1"/>
  <c r="BC61" i="1" a="1"/>
  <c r="BC61" i="1" s="1"/>
  <c r="BC62" i="1" a="1"/>
  <c r="BC62" i="1" s="1"/>
  <c r="BC63" i="1" a="1"/>
  <c r="BC63" i="1" s="1"/>
  <c r="BC64" i="1" a="1"/>
  <c r="BC64" i="1" s="1"/>
  <c r="BC65" i="1" a="1"/>
  <c r="BC65" i="1" s="1"/>
  <c r="BC66" i="1" a="1"/>
  <c r="BC66" i="1" s="1"/>
  <c r="BC67" i="1" a="1"/>
  <c r="BC67" i="1" s="1"/>
  <c r="BC68" i="1" a="1"/>
  <c r="BC68" i="1" s="1"/>
  <c r="BC69" i="1" a="1"/>
  <c r="BC69" i="1" s="1"/>
  <c r="BC70" i="1" a="1"/>
  <c r="BC70" i="1" s="1"/>
  <c r="BC71" i="1" a="1"/>
  <c r="BC71" i="1" s="1"/>
  <c r="BC72" i="1" a="1"/>
  <c r="BC72" i="1" s="1"/>
  <c r="BC73" i="1" a="1"/>
  <c r="BC73" i="1" s="1"/>
  <c r="BC74" i="1" a="1"/>
  <c r="BC74" i="1" s="1"/>
  <c r="BC75" i="1" a="1"/>
  <c r="BC75" i="1" s="1"/>
  <c r="BC76" i="1" a="1"/>
  <c r="BC76" i="1" s="1"/>
  <c r="BC77" i="1" a="1"/>
  <c r="BC77" i="1" s="1"/>
  <c r="BC78" i="1" a="1"/>
  <c r="BC78" i="1" s="1"/>
  <c r="BC79" i="1" a="1"/>
  <c r="BC79" i="1" s="1"/>
  <c r="BC80" i="1" a="1"/>
  <c r="BC80" i="1" s="1"/>
  <c r="BC81" i="1" a="1"/>
  <c r="BC81" i="1" s="1"/>
  <c r="BC82" i="1" a="1"/>
  <c r="BC82" i="1" s="1"/>
  <c r="BC83" i="1" a="1"/>
  <c r="BC83" i="1" s="1"/>
  <c r="BC84" i="1" a="1"/>
  <c r="BC84" i="1" s="1"/>
  <c r="BC85" i="1" a="1"/>
  <c r="BC85" i="1" s="1"/>
  <c r="BC86" i="1" a="1"/>
  <c r="BC86" i="1" s="1"/>
  <c r="BC87" i="1" a="1"/>
  <c r="BC87" i="1" s="1"/>
  <c r="BC88" i="1" a="1"/>
  <c r="BC88" i="1" s="1"/>
  <c r="BC89" i="1" a="1"/>
  <c r="BC89" i="1" s="1"/>
  <c r="BC90" i="1" a="1"/>
  <c r="BC90" i="1" s="1"/>
  <c r="BC91" i="1" a="1"/>
  <c r="BC91" i="1" s="1"/>
  <c r="BC92" i="1" a="1"/>
  <c r="BC92" i="1" s="1"/>
  <c r="BC93" i="1" a="1"/>
  <c r="BC93" i="1" s="1"/>
  <c r="BC94" i="1" a="1"/>
  <c r="BC94" i="1" s="1"/>
  <c r="BC95" i="1" a="1"/>
  <c r="BC95" i="1" s="1"/>
  <c r="BC96" i="1" a="1"/>
  <c r="BC96" i="1" s="1"/>
  <c r="BC97" i="1" a="1"/>
  <c r="BC97" i="1" s="1"/>
  <c r="BC98" i="1" a="1"/>
  <c r="BC98" i="1" s="1"/>
  <c r="BC99" i="1" a="1"/>
  <c r="BC99" i="1" s="1"/>
  <c r="BC100" i="1" a="1"/>
  <c r="BC100" i="1" s="1"/>
  <c r="BC101" i="1" a="1"/>
  <c r="BC101" i="1" s="1"/>
  <c r="BC102" i="1" a="1"/>
  <c r="BC102" i="1" s="1"/>
  <c r="BC103" i="1" a="1"/>
  <c r="BC103" i="1" s="1"/>
  <c r="BC104" i="1" a="1"/>
  <c r="BC104" i="1" s="1"/>
  <c r="BC105" i="1" a="1"/>
  <c r="BC105" i="1" s="1"/>
  <c r="BC106" i="1" a="1"/>
  <c r="BC106" i="1" s="1"/>
  <c r="BC107" i="1" a="1"/>
  <c r="BC107" i="1" s="1"/>
  <c r="BC108" i="1" a="1"/>
  <c r="BC108" i="1" s="1"/>
  <c r="BC109" i="1" a="1"/>
  <c r="BC109" i="1" s="1"/>
  <c r="BC110" i="1" a="1"/>
  <c r="BC110" i="1" s="1"/>
  <c r="BC111" i="1" a="1"/>
  <c r="BC111" i="1" s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2" i="1"/>
  <c r="CH68" i="1" l="1"/>
  <c r="BZ108" i="1"/>
  <c r="BZ100" i="1"/>
  <c r="BZ92" i="1"/>
  <c r="BZ84" i="1"/>
  <c r="BZ76" i="1"/>
  <c r="BZ68" i="1"/>
  <c r="BZ60" i="1"/>
  <c r="BZ52" i="1"/>
  <c r="BZ44" i="1"/>
  <c r="BZ36" i="1"/>
  <c r="BZ28" i="1"/>
  <c r="BZ20" i="1"/>
  <c r="CD104" i="1"/>
  <c r="CD96" i="1"/>
  <c r="CD88" i="1"/>
  <c r="CD80" i="1"/>
  <c r="CD72" i="1"/>
  <c r="CD64" i="1"/>
  <c r="CD56" i="1"/>
  <c r="CD48" i="1"/>
  <c r="CD40" i="1"/>
  <c r="CD32" i="1"/>
  <c r="CD24" i="1"/>
  <c r="CD16" i="1"/>
  <c r="CH107" i="1"/>
  <c r="CH99" i="1"/>
  <c r="CH91" i="1"/>
  <c r="CH83" i="1"/>
  <c r="CH75" i="1"/>
  <c r="CH67" i="1"/>
  <c r="CH59" i="1"/>
  <c r="CH51" i="1"/>
  <c r="CH43" i="1"/>
  <c r="CH35" i="1"/>
  <c r="CH27" i="1"/>
  <c r="CH19" i="1"/>
  <c r="CH60" i="1"/>
  <c r="BZ107" i="1"/>
  <c r="BZ99" i="1"/>
  <c r="BZ91" i="1"/>
  <c r="BZ83" i="1"/>
  <c r="BZ75" i="1"/>
  <c r="BZ67" i="1"/>
  <c r="BZ59" i="1"/>
  <c r="BZ51" i="1"/>
  <c r="BZ43" i="1"/>
  <c r="BZ35" i="1"/>
  <c r="BZ27" i="1"/>
  <c r="BZ19" i="1"/>
  <c r="BR108" i="1"/>
  <c r="BR100" i="1"/>
  <c r="BR92" i="1"/>
  <c r="BR84" i="1"/>
  <c r="BR76" i="1"/>
  <c r="BR68" i="1"/>
  <c r="BR60" i="1"/>
  <c r="BR52" i="1"/>
  <c r="BR44" i="1"/>
  <c r="BR36" i="1"/>
  <c r="BR28" i="1"/>
  <c r="BR20" i="1"/>
  <c r="CH92" i="1"/>
  <c r="CH52" i="1"/>
  <c r="CH28" i="1"/>
  <c r="BR83" i="1"/>
  <c r="BR59" i="1"/>
  <c r="BR27" i="1"/>
  <c r="CL84" i="1"/>
  <c r="CL52" i="1"/>
  <c r="CL28" i="1"/>
  <c r="BJ108" i="1"/>
  <c r="BJ100" i="1"/>
  <c r="BJ92" i="1"/>
  <c r="BJ84" i="1"/>
  <c r="BJ76" i="1"/>
  <c r="BJ68" i="1"/>
  <c r="BJ60" i="1"/>
  <c r="BJ52" i="1"/>
  <c r="BJ44" i="1"/>
  <c r="BJ36" i="1"/>
  <c r="BJ28" i="1"/>
  <c r="BJ20" i="1"/>
  <c r="CH104" i="1"/>
  <c r="CH96" i="1"/>
  <c r="CH88" i="1"/>
  <c r="CH80" i="1"/>
  <c r="CH72" i="1"/>
  <c r="CH64" i="1"/>
  <c r="CH56" i="1"/>
  <c r="CH48" i="1"/>
  <c r="CH40" i="1"/>
  <c r="CH32" i="1"/>
  <c r="CH24" i="1"/>
  <c r="CH16" i="1"/>
  <c r="CL107" i="1"/>
  <c r="CL99" i="1"/>
  <c r="CL91" i="1"/>
  <c r="CL83" i="1"/>
  <c r="CL75" i="1"/>
  <c r="CL67" i="1"/>
  <c r="CL59" i="1"/>
  <c r="CL51" i="1"/>
  <c r="CL43" i="1"/>
  <c r="CL35" i="1"/>
  <c r="CL27" i="1"/>
  <c r="CL19" i="1"/>
  <c r="CH100" i="1"/>
  <c r="CH76" i="1"/>
  <c r="CH36" i="1"/>
  <c r="CH20" i="1"/>
  <c r="BR99" i="1"/>
  <c r="BR75" i="1"/>
  <c r="BR51" i="1"/>
  <c r="BR35" i="1"/>
  <c r="BR19" i="1"/>
  <c r="CL100" i="1"/>
  <c r="CL76" i="1"/>
  <c r="CL44" i="1"/>
  <c r="CL20" i="1"/>
  <c r="BZ104" i="1"/>
  <c r="BZ96" i="1"/>
  <c r="BZ88" i="1"/>
  <c r="BZ80" i="1"/>
  <c r="BZ72" i="1"/>
  <c r="BZ64" i="1"/>
  <c r="BZ56" i="1"/>
  <c r="BZ48" i="1"/>
  <c r="BZ40" i="1"/>
  <c r="BZ32" i="1"/>
  <c r="BZ24" i="1"/>
  <c r="BZ16" i="1"/>
  <c r="BJ107" i="1"/>
  <c r="BJ99" i="1"/>
  <c r="BJ91" i="1"/>
  <c r="BJ83" i="1"/>
  <c r="BJ75" i="1"/>
  <c r="BJ67" i="1"/>
  <c r="BJ59" i="1"/>
  <c r="BJ51" i="1"/>
  <c r="BJ43" i="1"/>
  <c r="BJ35" i="1"/>
  <c r="BJ27" i="1"/>
  <c r="BJ19" i="1"/>
  <c r="CD108" i="1"/>
  <c r="CD100" i="1"/>
  <c r="CD92" i="1"/>
  <c r="CD84" i="1"/>
  <c r="CD76" i="1"/>
  <c r="CD68" i="1"/>
  <c r="CD60" i="1"/>
  <c r="CD52" i="1"/>
  <c r="CD44" i="1"/>
  <c r="CD36" i="1"/>
  <c r="CD28" i="1"/>
  <c r="CD20" i="1"/>
  <c r="CH108" i="1"/>
  <c r="CH84" i="1"/>
  <c r="CH44" i="1"/>
  <c r="BR107" i="1"/>
  <c r="BR91" i="1"/>
  <c r="BR67" i="1"/>
  <c r="BR43" i="1"/>
  <c r="CL108" i="1"/>
  <c r="CL92" i="1"/>
  <c r="CL68" i="1"/>
  <c r="CL60" i="1"/>
  <c r="CL36" i="1"/>
  <c r="BZ12" i="1"/>
  <c r="CH12" i="1"/>
  <c r="CD12" i="1"/>
  <c r="AF13" i="1"/>
  <c r="BB13" i="1" s="1"/>
  <c r="AF14" i="1"/>
  <c r="BB14" i="1" s="1"/>
  <c r="AF15" i="1"/>
  <c r="BB15" i="1" s="1"/>
  <c r="AF16" i="1"/>
  <c r="BB16" i="1" s="1"/>
  <c r="AF17" i="1"/>
  <c r="AF18" i="1"/>
  <c r="BB18" i="1" s="1"/>
  <c r="AF19" i="1"/>
  <c r="BB19" i="1" s="1"/>
  <c r="AF20" i="1"/>
  <c r="BB20" i="1" s="1"/>
  <c r="AF21" i="1"/>
  <c r="AF22" i="1"/>
  <c r="AF23" i="1"/>
  <c r="BB23" i="1" s="1"/>
  <c r="AF24" i="1"/>
  <c r="AF25" i="1"/>
  <c r="BB25" i="1" s="1"/>
  <c r="AF26" i="1"/>
  <c r="BB26" i="1" s="1"/>
  <c r="AF27" i="1"/>
  <c r="BB27" i="1" s="1"/>
  <c r="AF28" i="1"/>
  <c r="BB28" i="1" s="1"/>
  <c r="AF29" i="1"/>
  <c r="AF30" i="1"/>
  <c r="AF31" i="1"/>
  <c r="BB31" i="1" s="1"/>
  <c r="AF32" i="1"/>
  <c r="AF33" i="1"/>
  <c r="BB33" i="1" s="1"/>
  <c r="AF34" i="1"/>
  <c r="BB34" i="1" s="1"/>
  <c r="AF35" i="1"/>
  <c r="BB35" i="1" s="1"/>
  <c r="AF36" i="1"/>
  <c r="BB36" i="1" s="1"/>
  <c r="AF37" i="1"/>
  <c r="AF38" i="1"/>
  <c r="AF39" i="1"/>
  <c r="BB39" i="1" s="1"/>
  <c r="AF40" i="1"/>
  <c r="AF41" i="1"/>
  <c r="BB41" i="1" s="1"/>
  <c r="AF42" i="1"/>
  <c r="BB42" i="1" s="1"/>
  <c r="AF43" i="1"/>
  <c r="BB43" i="1" s="1"/>
  <c r="AF44" i="1"/>
  <c r="BB44" i="1" s="1"/>
  <c r="AF45" i="1"/>
  <c r="AF46" i="1"/>
  <c r="BB46" i="1" s="1"/>
  <c r="AF47" i="1"/>
  <c r="AF48" i="1"/>
  <c r="AF49" i="1"/>
  <c r="BB49" i="1" s="1"/>
  <c r="AF50" i="1"/>
  <c r="BB50" i="1" s="1"/>
  <c r="AF51" i="1"/>
  <c r="BB51" i="1" s="1"/>
  <c r="AF52" i="1"/>
  <c r="BB52" i="1" s="1"/>
  <c r="AF53" i="1"/>
  <c r="AF54" i="1"/>
  <c r="BB54" i="1" s="1"/>
  <c r="AF55" i="1"/>
  <c r="BB55" i="1" s="1"/>
  <c r="AF56" i="1"/>
  <c r="AF57" i="1"/>
  <c r="AF58" i="1"/>
  <c r="BB58" i="1" s="1"/>
  <c r="AF59" i="1"/>
  <c r="BB59" i="1" s="1"/>
  <c r="AF60" i="1"/>
  <c r="BB60" i="1" s="1"/>
  <c r="AF61" i="1"/>
  <c r="AF62" i="1"/>
  <c r="AF63" i="1"/>
  <c r="BB63" i="1" s="1"/>
  <c r="AF64" i="1"/>
  <c r="AF65" i="1"/>
  <c r="AF66" i="1"/>
  <c r="BB66" i="1" s="1"/>
  <c r="AF67" i="1"/>
  <c r="BB67" i="1" s="1"/>
  <c r="AF68" i="1"/>
  <c r="BB68" i="1" s="1"/>
  <c r="AF69" i="1"/>
  <c r="AF70" i="1"/>
  <c r="AF71" i="1"/>
  <c r="AF72" i="1"/>
  <c r="AF73" i="1"/>
  <c r="AF74" i="1"/>
  <c r="BB74" i="1" s="1"/>
  <c r="AF75" i="1"/>
  <c r="BB75" i="1" s="1"/>
  <c r="AF76" i="1"/>
  <c r="BB76" i="1" s="1"/>
  <c r="AF77" i="1"/>
  <c r="AF78" i="1"/>
  <c r="AF79" i="1"/>
  <c r="AF80" i="1"/>
  <c r="AF81" i="1"/>
  <c r="AF82" i="1"/>
  <c r="BB82" i="1" s="1"/>
  <c r="AF83" i="1"/>
  <c r="BB83" i="1" s="1"/>
  <c r="AF84" i="1"/>
  <c r="BB84" i="1" s="1"/>
  <c r="AF85" i="1"/>
  <c r="AF86" i="1"/>
  <c r="BB86" i="1" s="1"/>
  <c r="AF87" i="1"/>
  <c r="BB87" i="1" s="1"/>
  <c r="AF88" i="1"/>
  <c r="AF89" i="1"/>
  <c r="BB89" i="1" s="1"/>
  <c r="AF90" i="1"/>
  <c r="BB90" i="1" s="1"/>
  <c r="AF91" i="1"/>
  <c r="BB91" i="1" s="1"/>
  <c r="AF92" i="1"/>
  <c r="BB92" i="1" s="1"/>
  <c r="AF93" i="1"/>
  <c r="AF94" i="1"/>
  <c r="AF95" i="1"/>
  <c r="BB95" i="1" s="1"/>
  <c r="AF96" i="1"/>
  <c r="AF97" i="1"/>
  <c r="BB97" i="1" s="1"/>
  <c r="AF98" i="1"/>
  <c r="BB98" i="1" s="1"/>
  <c r="AF99" i="1"/>
  <c r="BB99" i="1" s="1"/>
  <c r="AF100" i="1"/>
  <c r="BB100" i="1" s="1"/>
  <c r="AF101" i="1"/>
  <c r="BB101" i="1" s="1"/>
  <c r="AF102" i="1"/>
  <c r="AF103" i="1"/>
  <c r="BB103" i="1" s="1"/>
  <c r="AF104" i="1"/>
  <c r="AF105" i="1"/>
  <c r="BB105" i="1" s="1"/>
  <c r="AF106" i="1"/>
  <c r="BB106" i="1" s="1"/>
  <c r="AF107" i="1"/>
  <c r="BB107" i="1" s="1"/>
  <c r="AF108" i="1"/>
  <c r="BB108" i="1" s="1"/>
  <c r="AF109" i="1"/>
  <c r="BB109" i="1" s="1"/>
  <c r="AF110" i="1"/>
  <c r="AF111" i="1"/>
  <c r="AF12" i="1"/>
  <c r="BB12" i="1" s="1"/>
  <c r="AD13" i="1"/>
  <c r="BD13" i="1" s="1"/>
  <c r="AD14" i="1"/>
  <c r="BD14" i="1" s="1"/>
  <c r="AD15" i="1"/>
  <c r="AD16" i="1"/>
  <c r="AD17" i="1"/>
  <c r="AD18" i="1"/>
  <c r="AD19" i="1"/>
  <c r="BD19" i="1" s="1"/>
  <c r="AD20" i="1"/>
  <c r="BD20" i="1" s="1"/>
  <c r="AD21" i="1"/>
  <c r="AD22" i="1"/>
  <c r="AD23" i="1"/>
  <c r="AD24" i="1"/>
  <c r="AD25" i="1"/>
  <c r="AD26" i="1"/>
  <c r="AD27" i="1"/>
  <c r="BD27" i="1" s="1"/>
  <c r="AD28" i="1"/>
  <c r="BD28" i="1" s="1"/>
  <c r="AD29" i="1"/>
  <c r="AD30" i="1"/>
  <c r="AD31" i="1"/>
  <c r="AD32" i="1"/>
  <c r="AD33" i="1"/>
  <c r="AD34" i="1"/>
  <c r="AD35" i="1"/>
  <c r="BD35" i="1" s="1"/>
  <c r="AD36" i="1"/>
  <c r="BD36" i="1" s="1"/>
  <c r="AD37" i="1"/>
  <c r="AD38" i="1"/>
  <c r="AD39" i="1"/>
  <c r="AD40" i="1"/>
  <c r="AD41" i="1"/>
  <c r="AD42" i="1"/>
  <c r="AD43" i="1"/>
  <c r="BD43" i="1" s="1"/>
  <c r="AD44" i="1"/>
  <c r="BD44" i="1" s="1"/>
  <c r="AD45" i="1"/>
  <c r="AD46" i="1"/>
  <c r="AD47" i="1"/>
  <c r="AD48" i="1"/>
  <c r="AD49" i="1"/>
  <c r="AD50" i="1"/>
  <c r="AD51" i="1"/>
  <c r="BD51" i="1" s="1"/>
  <c r="AD52" i="1"/>
  <c r="BD52" i="1" s="1"/>
  <c r="AD53" i="1"/>
  <c r="AD54" i="1"/>
  <c r="AD55" i="1"/>
  <c r="AD56" i="1"/>
  <c r="AD57" i="1"/>
  <c r="AD58" i="1"/>
  <c r="AD59" i="1"/>
  <c r="BD59" i="1" s="1"/>
  <c r="AD60" i="1"/>
  <c r="BD60" i="1" s="1"/>
  <c r="AD61" i="1"/>
  <c r="BD61" i="1" s="1"/>
  <c r="AD62" i="1"/>
  <c r="AD63" i="1"/>
  <c r="AD64" i="1"/>
  <c r="AD65" i="1"/>
  <c r="AD66" i="1"/>
  <c r="AD67" i="1"/>
  <c r="BD67" i="1" s="1"/>
  <c r="AD68" i="1"/>
  <c r="BD68" i="1" s="1"/>
  <c r="AD69" i="1"/>
  <c r="BD69" i="1" s="1"/>
  <c r="AD70" i="1"/>
  <c r="AD71" i="1"/>
  <c r="AD72" i="1"/>
  <c r="AD73" i="1"/>
  <c r="AD74" i="1"/>
  <c r="AD75" i="1"/>
  <c r="BD75" i="1" s="1"/>
  <c r="AD76" i="1"/>
  <c r="BD76" i="1" s="1"/>
  <c r="AD77" i="1"/>
  <c r="AD78" i="1"/>
  <c r="AD79" i="1"/>
  <c r="AD80" i="1"/>
  <c r="AD81" i="1"/>
  <c r="AD82" i="1"/>
  <c r="AD83" i="1"/>
  <c r="BD83" i="1" s="1"/>
  <c r="AD84" i="1"/>
  <c r="BD84" i="1" s="1"/>
  <c r="AD85" i="1"/>
  <c r="AD86" i="1"/>
  <c r="AD87" i="1"/>
  <c r="AD88" i="1"/>
  <c r="AD89" i="1"/>
  <c r="AD90" i="1"/>
  <c r="AD91" i="1"/>
  <c r="BD91" i="1" s="1"/>
  <c r="AD92" i="1"/>
  <c r="BD92" i="1" s="1"/>
  <c r="AD93" i="1"/>
  <c r="AD94" i="1"/>
  <c r="AD95" i="1"/>
  <c r="AD96" i="1"/>
  <c r="AD97" i="1"/>
  <c r="AD98" i="1"/>
  <c r="AD99" i="1"/>
  <c r="BD99" i="1" s="1"/>
  <c r="AD100" i="1"/>
  <c r="BD100" i="1" s="1"/>
  <c r="AD101" i="1"/>
  <c r="AD102" i="1"/>
  <c r="AD103" i="1"/>
  <c r="AD104" i="1"/>
  <c r="AD105" i="1"/>
  <c r="AD106" i="1"/>
  <c r="AD107" i="1"/>
  <c r="BD107" i="1" s="1"/>
  <c r="AD108" i="1"/>
  <c r="BD108" i="1" s="1"/>
  <c r="AD109" i="1"/>
  <c r="AD110" i="1"/>
  <c r="AD111" i="1"/>
  <c r="AD12" i="1"/>
  <c r="BD12" i="1" s="1"/>
  <c r="AS13" i="1" a="1"/>
  <c r="AS13" i="1" s="1"/>
  <c r="AT13" i="1" a="1"/>
  <c r="AT13" i="1" s="1"/>
  <c r="AU13" i="1" a="1"/>
  <c r="AU13" i="1" s="1"/>
  <c r="AS14" i="1" a="1"/>
  <c r="AS14" i="1" s="1"/>
  <c r="AT14" i="1" a="1"/>
  <c r="AT14" i="1" s="1"/>
  <c r="AU14" i="1" a="1"/>
  <c r="AU14" i="1" s="1"/>
  <c r="AS15" i="1" a="1"/>
  <c r="AS15" i="1" s="1"/>
  <c r="AT15" i="1" a="1"/>
  <c r="AT15" i="1" s="1"/>
  <c r="AU15" i="1" a="1"/>
  <c r="AU15" i="1" s="1"/>
  <c r="AS16" i="1" a="1"/>
  <c r="AS16" i="1" s="1"/>
  <c r="AT16" i="1" a="1"/>
  <c r="AT16" i="1" s="1"/>
  <c r="AU16" i="1" a="1"/>
  <c r="AU16" i="1" s="1"/>
  <c r="AS17" i="1" a="1"/>
  <c r="AS17" i="1" s="1"/>
  <c r="AT17" i="1" a="1"/>
  <c r="AT17" i="1" s="1"/>
  <c r="AU17" i="1" a="1"/>
  <c r="AU17" i="1" s="1"/>
  <c r="AS18" i="1" a="1"/>
  <c r="AS18" i="1" s="1"/>
  <c r="AT18" i="1" a="1"/>
  <c r="AT18" i="1" s="1"/>
  <c r="AU18" i="1" a="1"/>
  <c r="AU18" i="1" s="1"/>
  <c r="AS19" i="1" a="1"/>
  <c r="AS19" i="1" s="1"/>
  <c r="AT19" i="1" a="1"/>
  <c r="AT19" i="1" s="1"/>
  <c r="AU19" i="1" a="1"/>
  <c r="AU19" i="1" s="1"/>
  <c r="AS20" i="1" a="1"/>
  <c r="AS20" i="1" s="1"/>
  <c r="AT20" i="1" a="1"/>
  <c r="AT20" i="1" s="1"/>
  <c r="AU20" i="1" a="1"/>
  <c r="AU20" i="1" s="1"/>
  <c r="AS21" i="1" a="1"/>
  <c r="AS21" i="1" s="1"/>
  <c r="AT21" i="1" a="1"/>
  <c r="AT21" i="1" s="1"/>
  <c r="AU21" i="1" a="1"/>
  <c r="AU21" i="1" s="1"/>
  <c r="AS22" i="1" a="1"/>
  <c r="AS22" i="1" s="1"/>
  <c r="AT22" i="1" a="1"/>
  <c r="AT22" i="1" s="1"/>
  <c r="AU22" i="1" a="1"/>
  <c r="AU22" i="1" s="1"/>
  <c r="AS23" i="1" a="1"/>
  <c r="AS23" i="1" s="1"/>
  <c r="AT23" i="1" a="1"/>
  <c r="AT23" i="1" s="1"/>
  <c r="AU23" i="1" a="1"/>
  <c r="AU23" i="1" s="1"/>
  <c r="AS24" i="1" a="1"/>
  <c r="AS24" i="1" s="1"/>
  <c r="AT24" i="1" a="1"/>
  <c r="AT24" i="1" s="1"/>
  <c r="AU24" i="1" a="1"/>
  <c r="AU24" i="1" s="1"/>
  <c r="AS25" i="1" a="1"/>
  <c r="AS25" i="1" s="1"/>
  <c r="AT25" i="1" a="1"/>
  <c r="AT25" i="1" s="1"/>
  <c r="AU25" i="1" a="1"/>
  <c r="AU25" i="1" s="1"/>
  <c r="AS26" i="1" a="1"/>
  <c r="AS26" i="1" s="1"/>
  <c r="AT26" i="1" a="1"/>
  <c r="AT26" i="1" s="1"/>
  <c r="AU26" i="1" a="1"/>
  <c r="AU26" i="1" s="1"/>
  <c r="AS27" i="1" a="1"/>
  <c r="AS27" i="1" s="1"/>
  <c r="AT27" i="1" a="1"/>
  <c r="AT27" i="1" s="1"/>
  <c r="AU27" i="1" a="1"/>
  <c r="AU27" i="1" s="1"/>
  <c r="AS28" i="1" a="1"/>
  <c r="AS28" i="1" s="1"/>
  <c r="AT28" i="1" a="1"/>
  <c r="AT28" i="1" s="1"/>
  <c r="AU28" i="1" a="1"/>
  <c r="AU28" i="1" s="1"/>
  <c r="AS29" i="1" a="1"/>
  <c r="AS29" i="1" s="1"/>
  <c r="AT29" i="1" a="1"/>
  <c r="AT29" i="1" s="1"/>
  <c r="AU29" i="1" a="1"/>
  <c r="AU29" i="1" s="1"/>
  <c r="AS30" i="1" a="1"/>
  <c r="AS30" i="1" s="1"/>
  <c r="AT30" i="1" a="1"/>
  <c r="AT30" i="1" s="1"/>
  <c r="AU30" i="1" a="1"/>
  <c r="AU30" i="1" s="1"/>
  <c r="AS31" i="1" a="1"/>
  <c r="AS31" i="1" s="1"/>
  <c r="AT31" i="1" a="1"/>
  <c r="AT31" i="1" s="1"/>
  <c r="AU31" i="1" a="1"/>
  <c r="AU31" i="1" s="1"/>
  <c r="AS32" i="1" a="1"/>
  <c r="AS32" i="1" s="1"/>
  <c r="AT32" i="1" a="1"/>
  <c r="AT32" i="1" s="1"/>
  <c r="AU32" i="1" a="1"/>
  <c r="AU32" i="1" s="1"/>
  <c r="AS33" i="1" a="1"/>
  <c r="AS33" i="1" s="1"/>
  <c r="AT33" i="1" a="1"/>
  <c r="AT33" i="1" s="1"/>
  <c r="AU33" i="1" a="1"/>
  <c r="AU33" i="1" s="1"/>
  <c r="AS34" i="1" a="1"/>
  <c r="AS34" i="1" s="1"/>
  <c r="AT34" i="1" a="1"/>
  <c r="AT34" i="1" s="1"/>
  <c r="AU34" i="1" a="1"/>
  <c r="AU34" i="1" s="1"/>
  <c r="AS35" i="1" a="1"/>
  <c r="AS35" i="1" s="1"/>
  <c r="AT35" i="1" a="1"/>
  <c r="AT35" i="1" s="1"/>
  <c r="AU35" i="1" a="1"/>
  <c r="AU35" i="1" s="1"/>
  <c r="AS36" i="1" a="1"/>
  <c r="AS36" i="1" s="1"/>
  <c r="AT36" i="1" a="1"/>
  <c r="AT36" i="1" s="1"/>
  <c r="AU36" i="1" a="1"/>
  <c r="AU36" i="1" s="1"/>
  <c r="AS37" i="1" a="1"/>
  <c r="AS37" i="1" s="1"/>
  <c r="AT37" i="1" a="1"/>
  <c r="AT37" i="1" s="1"/>
  <c r="AU37" i="1" a="1"/>
  <c r="AU37" i="1" s="1"/>
  <c r="AS38" i="1" a="1"/>
  <c r="AS38" i="1" s="1"/>
  <c r="AT38" i="1" a="1"/>
  <c r="AT38" i="1" s="1"/>
  <c r="AU38" i="1" a="1"/>
  <c r="AU38" i="1" s="1"/>
  <c r="AS39" i="1" a="1"/>
  <c r="AS39" i="1" s="1"/>
  <c r="AT39" i="1" a="1"/>
  <c r="AT39" i="1" s="1"/>
  <c r="AU39" i="1" a="1"/>
  <c r="AU39" i="1" s="1"/>
  <c r="AS40" i="1" a="1"/>
  <c r="AS40" i="1" s="1"/>
  <c r="AT40" i="1" a="1"/>
  <c r="AT40" i="1" s="1"/>
  <c r="AU40" i="1" a="1"/>
  <c r="AU40" i="1" s="1"/>
  <c r="AS41" i="1" a="1"/>
  <c r="AS41" i="1" s="1"/>
  <c r="AT41" i="1" a="1"/>
  <c r="AT41" i="1" s="1"/>
  <c r="AU41" i="1" a="1"/>
  <c r="AU41" i="1" s="1"/>
  <c r="AS42" i="1" a="1"/>
  <c r="AS42" i="1" s="1"/>
  <c r="AT42" i="1" a="1"/>
  <c r="AT42" i="1" s="1"/>
  <c r="AU42" i="1" a="1"/>
  <c r="AU42" i="1" s="1"/>
  <c r="AS43" i="1" a="1"/>
  <c r="AS43" i="1" s="1"/>
  <c r="AT43" i="1" a="1"/>
  <c r="AT43" i="1" s="1"/>
  <c r="AU43" i="1" a="1"/>
  <c r="AU43" i="1" s="1"/>
  <c r="AS44" i="1" a="1"/>
  <c r="AS44" i="1" s="1"/>
  <c r="AT44" i="1" a="1"/>
  <c r="AT44" i="1" s="1"/>
  <c r="AU44" i="1" a="1"/>
  <c r="AU44" i="1" s="1"/>
  <c r="AS45" i="1" a="1"/>
  <c r="AS45" i="1" s="1"/>
  <c r="AT45" i="1" a="1"/>
  <c r="AT45" i="1" s="1"/>
  <c r="AU45" i="1" a="1"/>
  <c r="AU45" i="1" s="1"/>
  <c r="AS46" i="1" a="1"/>
  <c r="AS46" i="1" s="1"/>
  <c r="AT46" i="1" a="1"/>
  <c r="AT46" i="1" s="1"/>
  <c r="AU46" i="1" a="1"/>
  <c r="AU46" i="1" s="1"/>
  <c r="AS47" i="1" a="1"/>
  <c r="AS47" i="1" s="1"/>
  <c r="AT47" i="1" a="1"/>
  <c r="AT47" i="1" s="1"/>
  <c r="AU47" i="1" a="1"/>
  <c r="AU47" i="1" s="1"/>
  <c r="AS48" i="1" a="1"/>
  <c r="AS48" i="1" s="1"/>
  <c r="AT48" i="1" a="1"/>
  <c r="AT48" i="1" s="1"/>
  <c r="AU48" i="1" a="1"/>
  <c r="AU48" i="1" s="1"/>
  <c r="AS49" i="1" a="1"/>
  <c r="AS49" i="1" s="1"/>
  <c r="AT49" i="1" a="1"/>
  <c r="AT49" i="1" s="1"/>
  <c r="AU49" i="1" a="1"/>
  <c r="AU49" i="1" s="1"/>
  <c r="AS50" i="1" a="1"/>
  <c r="AS50" i="1" s="1"/>
  <c r="AT50" i="1" a="1"/>
  <c r="AT50" i="1" s="1"/>
  <c r="AU50" i="1" a="1"/>
  <c r="AU50" i="1" s="1"/>
  <c r="AS51" i="1" a="1"/>
  <c r="AS51" i="1" s="1"/>
  <c r="AT51" i="1" a="1"/>
  <c r="AT51" i="1" s="1"/>
  <c r="AU51" i="1" a="1"/>
  <c r="AU51" i="1" s="1"/>
  <c r="AS52" i="1" a="1"/>
  <c r="AS52" i="1" s="1"/>
  <c r="AT52" i="1" a="1"/>
  <c r="AT52" i="1" s="1"/>
  <c r="AU52" i="1" a="1"/>
  <c r="AU52" i="1" s="1"/>
  <c r="AS53" i="1" a="1"/>
  <c r="AS53" i="1" s="1"/>
  <c r="AT53" i="1" a="1"/>
  <c r="AT53" i="1" s="1"/>
  <c r="AU53" i="1" a="1"/>
  <c r="AU53" i="1" s="1"/>
  <c r="AS54" i="1" a="1"/>
  <c r="AS54" i="1" s="1"/>
  <c r="AT54" i="1" a="1"/>
  <c r="AT54" i="1" s="1"/>
  <c r="AU54" i="1" a="1"/>
  <c r="AU54" i="1" s="1"/>
  <c r="AS55" i="1" a="1"/>
  <c r="AS55" i="1" s="1"/>
  <c r="AT55" i="1" a="1"/>
  <c r="AT55" i="1" s="1"/>
  <c r="AU55" i="1" a="1"/>
  <c r="AU55" i="1" s="1"/>
  <c r="AS56" i="1" a="1"/>
  <c r="AS56" i="1" s="1"/>
  <c r="AT56" i="1" a="1"/>
  <c r="AT56" i="1" s="1"/>
  <c r="AU56" i="1" a="1"/>
  <c r="AU56" i="1" s="1"/>
  <c r="AS57" i="1" a="1"/>
  <c r="AS57" i="1" s="1"/>
  <c r="AT57" i="1" a="1"/>
  <c r="AT57" i="1" s="1"/>
  <c r="AU57" i="1" a="1"/>
  <c r="AU57" i="1" s="1"/>
  <c r="AS58" i="1" a="1"/>
  <c r="AS58" i="1" s="1"/>
  <c r="AT58" i="1" a="1"/>
  <c r="AT58" i="1" s="1"/>
  <c r="AU58" i="1" a="1"/>
  <c r="AU58" i="1" s="1"/>
  <c r="AS59" i="1" a="1"/>
  <c r="AS59" i="1" s="1"/>
  <c r="AT59" i="1" a="1"/>
  <c r="AT59" i="1" s="1"/>
  <c r="AU59" i="1" a="1"/>
  <c r="AU59" i="1" s="1"/>
  <c r="AS60" i="1" a="1"/>
  <c r="AS60" i="1" s="1"/>
  <c r="AT60" i="1" a="1"/>
  <c r="AT60" i="1" s="1"/>
  <c r="AU60" i="1" a="1"/>
  <c r="AU60" i="1" s="1"/>
  <c r="AS61" i="1" a="1"/>
  <c r="AS61" i="1" s="1"/>
  <c r="AT61" i="1" a="1"/>
  <c r="AT61" i="1" s="1"/>
  <c r="AU61" i="1" a="1"/>
  <c r="AU61" i="1" s="1"/>
  <c r="AS62" i="1" a="1"/>
  <c r="AS62" i="1" s="1"/>
  <c r="AT62" i="1" a="1"/>
  <c r="AT62" i="1" s="1"/>
  <c r="AU62" i="1" a="1"/>
  <c r="AU62" i="1" s="1"/>
  <c r="AS63" i="1" a="1"/>
  <c r="AS63" i="1" s="1"/>
  <c r="AT63" i="1" a="1"/>
  <c r="AT63" i="1" s="1"/>
  <c r="AU63" i="1" a="1"/>
  <c r="AU63" i="1" s="1"/>
  <c r="AS64" i="1" a="1"/>
  <c r="AS64" i="1" s="1"/>
  <c r="AT64" i="1" a="1"/>
  <c r="AT64" i="1" s="1"/>
  <c r="AU64" i="1" a="1"/>
  <c r="AU64" i="1" s="1"/>
  <c r="AS65" i="1" a="1"/>
  <c r="AS65" i="1" s="1"/>
  <c r="AT65" i="1" a="1"/>
  <c r="AT65" i="1" s="1"/>
  <c r="AU65" i="1" a="1"/>
  <c r="AU65" i="1" s="1"/>
  <c r="AS66" i="1" a="1"/>
  <c r="AS66" i="1" s="1"/>
  <c r="AT66" i="1" a="1"/>
  <c r="AT66" i="1" s="1"/>
  <c r="AU66" i="1" a="1"/>
  <c r="AU66" i="1" s="1"/>
  <c r="AS67" i="1" a="1"/>
  <c r="AS67" i="1" s="1"/>
  <c r="AT67" i="1" a="1"/>
  <c r="AT67" i="1" s="1"/>
  <c r="AU67" i="1" a="1"/>
  <c r="AU67" i="1" s="1"/>
  <c r="AS68" i="1" a="1"/>
  <c r="AS68" i="1" s="1"/>
  <c r="AT68" i="1" a="1"/>
  <c r="AT68" i="1" s="1"/>
  <c r="AU68" i="1" a="1"/>
  <c r="AU68" i="1" s="1"/>
  <c r="AS69" i="1" a="1"/>
  <c r="AS69" i="1" s="1"/>
  <c r="AT69" i="1" a="1"/>
  <c r="AT69" i="1" s="1"/>
  <c r="AU69" i="1" a="1"/>
  <c r="AU69" i="1" s="1"/>
  <c r="AS70" i="1" a="1"/>
  <c r="AS70" i="1" s="1"/>
  <c r="AT70" i="1" a="1"/>
  <c r="AT70" i="1" s="1"/>
  <c r="AU70" i="1" a="1"/>
  <c r="AU70" i="1" s="1"/>
  <c r="AS71" i="1" a="1"/>
  <c r="AS71" i="1" s="1"/>
  <c r="AT71" i="1" a="1"/>
  <c r="AT71" i="1" s="1"/>
  <c r="AU71" i="1" a="1"/>
  <c r="AU71" i="1" s="1"/>
  <c r="AT12" i="1" a="1"/>
  <c r="AT12" i="1" s="1"/>
  <c r="AU12" i="1" a="1"/>
  <c r="AU12" i="1" s="1"/>
  <c r="AQ13" i="1" a="1"/>
  <c r="AQ13" i="1" s="1"/>
  <c r="AR13" i="1" a="1"/>
  <c r="AR13" i="1" s="1"/>
  <c r="AQ14" i="1" a="1"/>
  <c r="AQ14" i="1" s="1"/>
  <c r="AR14" i="1" a="1"/>
  <c r="AR14" i="1" s="1"/>
  <c r="AQ15" i="1" a="1"/>
  <c r="AQ15" i="1" s="1"/>
  <c r="AR15" i="1" a="1"/>
  <c r="AR15" i="1" s="1"/>
  <c r="AQ16" i="1" a="1"/>
  <c r="AQ16" i="1" s="1"/>
  <c r="AR16" i="1" a="1"/>
  <c r="AR16" i="1" s="1"/>
  <c r="AQ17" i="1" a="1"/>
  <c r="AQ17" i="1" s="1"/>
  <c r="AR17" i="1" a="1"/>
  <c r="AR17" i="1" s="1"/>
  <c r="AQ18" i="1" a="1"/>
  <c r="AQ18" i="1" s="1"/>
  <c r="AR18" i="1" a="1"/>
  <c r="AR18" i="1" s="1"/>
  <c r="AQ19" i="1" a="1"/>
  <c r="AQ19" i="1" s="1"/>
  <c r="AR19" i="1" a="1"/>
  <c r="AR19" i="1" s="1"/>
  <c r="AQ20" i="1" a="1"/>
  <c r="AQ20" i="1" s="1"/>
  <c r="AR20" i="1" a="1"/>
  <c r="AR20" i="1" s="1"/>
  <c r="AQ21" i="1" a="1"/>
  <c r="AQ21" i="1" s="1"/>
  <c r="AR21" i="1" a="1"/>
  <c r="AR21" i="1" s="1"/>
  <c r="AQ22" i="1" a="1"/>
  <c r="AQ22" i="1" s="1"/>
  <c r="AR22" i="1" a="1"/>
  <c r="AR22" i="1" s="1"/>
  <c r="AQ23" i="1" a="1"/>
  <c r="AQ23" i="1" s="1"/>
  <c r="AR23" i="1" a="1"/>
  <c r="AR23" i="1" s="1"/>
  <c r="AQ24" i="1" a="1"/>
  <c r="AQ24" i="1" s="1"/>
  <c r="AR24" i="1" a="1"/>
  <c r="AR24" i="1" s="1"/>
  <c r="AQ25" i="1" a="1"/>
  <c r="AQ25" i="1" s="1"/>
  <c r="AR25" i="1" a="1"/>
  <c r="AR25" i="1" s="1"/>
  <c r="AQ26" i="1" a="1"/>
  <c r="AQ26" i="1" s="1"/>
  <c r="AR26" i="1" a="1"/>
  <c r="AR26" i="1" s="1"/>
  <c r="AQ27" i="1" a="1"/>
  <c r="AQ27" i="1" s="1"/>
  <c r="AR27" i="1" a="1"/>
  <c r="AR27" i="1" s="1"/>
  <c r="AQ28" i="1" a="1"/>
  <c r="AQ28" i="1" s="1"/>
  <c r="AR28" i="1" a="1"/>
  <c r="AR28" i="1" s="1"/>
  <c r="AQ29" i="1" a="1"/>
  <c r="AQ29" i="1" s="1"/>
  <c r="AR29" i="1" a="1"/>
  <c r="AR29" i="1" s="1"/>
  <c r="AQ30" i="1" a="1"/>
  <c r="AQ30" i="1" s="1"/>
  <c r="AR30" i="1" a="1"/>
  <c r="AR30" i="1" s="1"/>
  <c r="AQ31" i="1" a="1"/>
  <c r="AQ31" i="1" s="1"/>
  <c r="AR31" i="1" a="1"/>
  <c r="AR31" i="1" s="1"/>
  <c r="AQ32" i="1" a="1"/>
  <c r="AQ32" i="1" s="1"/>
  <c r="AR32" i="1" a="1"/>
  <c r="AR32" i="1" s="1"/>
  <c r="AQ33" i="1" a="1"/>
  <c r="AQ33" i="1" s="1"/>
  <c r="AR33" i="1" a="1"/>
  <c r="AR33" i="1" s="1"/>
  <c r="AQ34" i="1" a="1"/>
  <c r="AQ34" i="1" s="1"/>
  <c r="AR34" i="1" a="1"/>
  <c r="AR34" i="1" s="1"/>
  <c r="AQ35" i="1" a="1"/>
  <c r="AQ35" i="1" s="1"/>
  <c r="AR35" i="1" a="1"/>
  <c r="AR35" i="1" s="1"/>
  <c r="AQ36" i="1" a="1"/>
  <c r="AQ36" i="1" s="1"/>
  <c r="AR36" i="1" a="1"/>
  <c r="AR36" i="1" s="1"/>
  <c r="AQ37" i="1" a="1"/>
  <c r="AQ37" i="1" s="1"/>
  <c r="AR37" i="1" a="1"/>
  <c r="AR37" i="1" s="1"/>
  <c r="AQ38" i="1" a="1"/>
  <c r="AQ38" i="1" s="1"/>
  <c r="AR38" i="1" a="1"/>
  <c r="AR38" i="1" s="1"/>
  <c r="AQ39" i="1" a="1"/>
  <c r="AQ39" i="1" s="1"/>
  <c r="AR39" i="1" a="1"/>
  <c r="AR39" i="1" s="1"/>
  <c r="AQ40" i="1" a="1"/>
  <c r="AQ40" i="1" s="1"/>
  <c r="AR40" i="1" a="1"/>
  <c r="AR40" i="1" s="1"/>
  <c r="AQ41" i="1" a="1"/>
  <c r="AQ41" i="1" s="1"/>
  <c r="AR41" i="1" a="1"/>
  <c r="AR41" i="1" s="1"/>
  <c r="AQ42" i="1" a="1"/>
  <c r="AQ42" i="1" s="1"/>
  <c r="AR42" i="1" a="1"/>
  <c r="AR42" i="1" s="1"/>
  <c r="AQ43" i="1" a="1"/>
  <c r="AQ43" i="1" s="1"/>
  <c r="AR43" i="1" a="1"/>
  <c r="AR43" i="1" s="1"/>
  <c r="AQ44" i="1" a="1"/>
  <c r="AQ44" i="1" s="1"/>
  <c r="AR44" i="1" a="1"/>
  <c r="AR44" i="1" s="1"/>
  <c r="AQ45" i="1" a="1"/>
  <c r="AQ45" i="1" s="1"/>
  <c r="AR45" i="1" a="1"/>
  <c r="AR45" i="1" s="1"/>
  <c r="AQ46" i="1" a="1"/>
  <c r="AQ46" i="1" s="1"/>
  <c r="AR46" i="1" a="1"/>
  <c r="AR46" i="1" s="1"/>
  <c r="AQ47" i="1" a="1"/>
  <c r="AQ47" i="1" s="1"/>
  <c r="AR47" i="1" a="1"/>
  <c r="AR47" i="1" s="1"/>
  <c r="AQ48" i="1" a="1"/>
  <c r="AQ48" i="1" s="1"/>
  <c r="AR48" i="1" a="1"/>
  <c r="AR48" i="1" s="1"/>
  <c r="AQ49" i="1" a="1"/>
  <c r="AQ49" i="1" s="1"/>
  <c r="AR49" i="1" a="1"/>
  <c r="AR49" i="1" s="1"/>
  <c r="AQ50" i="1" a="1"/>
  <c r="AQ50" i="1" s="1"/>
  <c r="AR50" i="1" a="1"/>
  <c r="AR50" i="1" s="1"/>
  <c r="AQ51" i="1" a="1"/>
  <c r="AQ51" i="1" s="1"/>
  <c r="AR51" i="1" a="1"/>
  <c r="AR51" i="1" s="1"/>
  <c r="AQ52" i="1" a="1"/>
  <c r="AQ52" i="1" s="1"/>
  <c r="AR52" i="1" a="1"/>
  <c r="AR52" i="1" s="1"/>
  <c r="AQ53" i="1" a="1"/>
  <c r="AQ53" i="1" s="1"/>
  <c r="AR53" i="1" a="1"/>
  <c r="AR53" i="1" s="1"/>
  <c r="AQ54" i="1" a="1"/>
  <c r="AQ54" i="1" s="1"/>
  <c r="AR54" i="1" a="1"/>
  <c r="AR54" i="1" s="1"/>
  <c r="AQ55" i="1" a="1"/>
  <c r="AQ55" i="1" s="1"/>
  <c r="AR55" i="1" a="1"/>
  <c r="AR55" i="1" s="1"/>
  <c r="AQ56" i="1" a="1"/>
  <c r="AQ56" i="1" s="1"/>
  <c r="AR56" i="1" a="1"/>
  <c r="AR56" i="1" s="1"/>
  <c r="AQ57" i="1" a="1"/>
  <c r="AQ57" i="1" s="1"/>
  <c r="AR57" i="1" a="1"/>
  <c r="AR57" i="1" s="1"/>
  <c r="AQ58" i="1" a="1"/>
  <c r="AQ58" i="1" s="1"/>
  <c r="AR58" i="1" a="1"/>
  <c r="AR58" i="1" s="1"/>
  <c r="AQ59" i="1" a="1"/>
  <c r="AQ59" i="1" s="1"/>
  <c r="AR59" i="1" a="1"/>
  <c r="AR59" i="1" s="1"/>
  <c r="AQ60" i="1" a="1"/>
  <c r="AQ60" i="1" s="1"/>
  <c r="AR60" i="1" a="1"/>
  <c r="AR60" i="1" s="1"/>
  <c r="AQ61" i="1" a="1"/>
  <c r="AQ61" i="1" s="1"/>
  <c r="AR61" i="1" a="1"/>
  <c r="AR61" i="1" s="1"/>
  <c r="AQ62" i="1" a="1"/>
  <c r="AQ62" i="1" s="1"/>
  <c r="AR62" i="1" a="1"/>
  <c r="AR62" i="1" s="1"/>
  <c r="AQ63" i="1" a="1"/>
  <c r="AQ63" i="1" s="1"/>
  <c r="AR63" i="1" a="1"/>
  <c r="AR63" i="1" s="1"/>
  <c r="AQ64" i="1" a="1"/>
  <c r="AQ64" i="1" s="1"/>
  <c r="AR64" i="1" a="1"/>
  <c r="AR64" i="1" s="1"/>
  <c r="AQ65" i="1" a="1"/>
  <c r="AQ65" i="1" s="1"/>
  <c r="AR65" i="1" a="1"/>
  <c r="AR65" i="1" s="1"/>
  <c r="AQ66" i="1" a="1"/>
  <c r="AQ66" i="1" s="1"/>
  <c r="AR66" i="1" a="1"/>
  <c r="AR66" i="1" s="1"/>
  <c r="AQ67" i="1" a="1"/>
  <c r="AQ67" i="1" s="1"/>
  <c r="AR67" i="1" a="1"/>
  <c r="AR67" i="1" s="1"/>
  <c r="AQ68" i="1" a="1"/>
  <c r="AQ68" i="1" s="1"/>
  <c r="AR68" i="1" a="1"/>
  <c r="AR68" i="1" s="1"/>
  <c r="AQ69" i="1" a="1"/>
  <c r="AQ69" i="1" s="1"/>
  <c r="AR69" i="1" a="1"/>
  <c r="AR69" i="1" s="1"/>
  <c r="AQ70" i="1" a="1"/>
  <c r="AQ70" i="1" s="1"/>
  <c r="AR70" i="1" a="1"/>
  <c r="AR70" i="1" s="1"/>
  <c r="AQ71" i="1" a="1"/>
  <c r="AQ71" i="1" s="1"/>
  <c r="AR71" i="1" a="1"/>
  <c r="AR71" i="1" s="1"/>
  <c r="AR12" i="1" a="1"/>
  <c r="AR12" i="1" s="1"/>
  <c r="AS12" i="1" a="1"/>
  <c r="AS12" i="1" s="1"/>
  <c r="AQ12" i="1" a="1"/>
  <c r="AQ12" i="1" s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BB21" i="1"/>
  <c r="BB29" i="1"/>
  <c r="BB37" i="1"/>
  <c r="BB45" i="1"/>
  <c r="BB47" i="1"/>
  <c r="BB53" i="1"/>
  <c r="BB61" i="1"/>
  <c r="BB69" i="1"/>
  <c r="BB71" i="1"/>
  <c r="BB77" i="1"/>
  <c r="BB79" i="1"/>
  <c r="BB85" i="1"/>
  <c r="BB93" i="1"/>
  <c r="BB110" i="1"/>
  <c r="BB111" i="1"/>
  <c r="BN12" i="1" l="1"/>
  <c r="BR12" i="1"/>
  <c r="BJ12" i="1"/>
  <c r="BF12" i="1"/>
  <c r="AI64" i="1"/>
  <c r="BD64" i="1"/>
  <c r="BQ56" i="1"/>
  <c r="BD56" i="1"/>
  <c r="BQ48" i="1"/>
  <c r="BD48" i="1"/>
  <c r="CK111" i="1"/>
  <c r="BD111" i="1"/>
  <c r="CK103" i="1"/>
  <c r="BD103" i="1"/>
  <c r="CK95" i="1"/>
  <c r="BD95" i="1"/>
  <c r="CK87" i="1"/>
  <c r="BD87" i="1"/>
  <c r="CK79" i="1"/>
  <c r="BD79" i="1"/>
  <c r="CK71" i="1"/>
  <c r="BD71" i="1"/>
  <c r="CK63" i="1"/>
  <c r="BD63" i="1"/>
  <c r="CK55" i="1"/>
  <c r="BD55" i="1"/>
  <c r="CK47" i="1"/>
  <c r="BD47" i="1"/>
  <c r="CK39" i="1"/>
  <c r="BD39" i="1"/>
  <c r="CK31" i="1"/>
  <c r="BD31" i="1"/>
  <c r="CK23" i="1"/>
  <c r="BD23" i="1"/>
  <c r="CK15" i="1"/>
  <c r="BD15" i="1"/>
  <c r="BQ72" i="1"/>
  <c r="BD72" i="1"/>
  <c r="BI24" i="1"/>
  <c r="BD24" i="1"/>
  <c r="AI94" i="1"/>
  <c r="BD94" i="1"/>
  <c r="BQ70" i="1"/>
  <c r="BD70" i="1"/>
  <c r="BQ46" i="1"/>
  <c r="BD46" i="1"/>
  <c r="AI30" i="1"/>
  <c r="BD30" i="1"/>
  <c r="AI22" i="1"/>
  <c r="BD22" i="1"/>
  <c r="CC109" i="1"/>
  <c r="BD109" i="1"/>
  <c r="BQ101" i="1"/>
  <c r="BD101" i="1"/>
  <c r="CC93" i="1"/>
  <c r="BD93" i="1"/>
  <c r="CC85" i="1"/>
  <c r="BD85" i="1"/>
  <c r="CC77" i="1"/>
  <c r="BD77" i="1"/>
  <c r="CC53" i="1"/>
  <c r="BD53" i="1"/>
  <c r="CC45" i="1"/>
  <c r="BD45" i="1"/>
  <c r="CC37" i="1"/>
  <c r="BD37" i="1"/>
  <c r="CC29" i="1"/>
  <c r="BD29" i="1"/>
  <c r="CC21" i="1"/>
  <c r="BD21" i="1"/>
  <c r="BI104" i="1"/>
  <c r="BD104" i="1"/>
  <c r="BI88" i="1"/>
  <c r="BD88" i="1"/>
  <c r="BI32" i="1"/>
  <c r="BD32" i="1"/>
  <c r="AI110" i="1"/>
  <c r="BD110" i="1"/>
  <c r="AI86" i="1"/>
  <c r="BD86" i="1"/>
  <c r="AI38" i="1"/>
  <c r="BD38" i="1"/>
  <c r="BI96" i="1"/>
  <c r="BD96" i="1"/>
  <c r="BI40" i="1"/>
  <c r="BD40" i="1"/>
  <c r="AI54" i="1"/>
  <c r="BD54" i="1"/>
  <c r="AI102" i="1"/>
  <c r="BD102" i="1"/>
  <c r="BQ62" i="1"/>
  <c r="BD62" i="1"/>
  <c r="CG106" i="1"/>
  <c r="BD106" i="1"/>
  <c r="CG98" i="1"/>
  <c r="BD98" i="1"/>
  <c r="CG90" i="1"/>
  <c r="BD90" i="1"/>
  <c r="CG82" i="1"/>
  <c r="BD82" i="1"/>
  <c r="CG74" i="1"/>
  <c r="BD74" i="1"/>
  <c r="CG66" i="1"/>
  <c r="BD66" i="1"/>
  <c r="CG58" i="1"/>
  <c r="BD58" i="1"/>
  <c r="BQ50" i="1"/>
  <c r="BD50" i="1"/>
  <c r="CG42" i="1"/>
  <c r="BD42" i="1"/>
  <c r="BQ34" i="1"/>
  <c r="BD34" i="1"/>
  <c r="CG26" i="1"/>
  <c r="BD26" i="1"/>
  <c r="BQ18" i="1"/>
  <c r="BD18" i="1"/>
  <c r="BQ80" i="1"/>
  <c r="BD80" i="1"/>
  <c r="AI16" i="1"/>
  <c r="BD16" i="1"/>
  <c r="AI78" i="1"/>
  <c r="BD78" i="1"/>
  <c r="BQ105" i="1"/>
  <c r="BD105" i="1"/>
  <c r="BQ97" i="1"/>
  <c r="BD97" i="1"/>
  <c r="BQ89" i="1"/>
  <c r="BD89" i="1"/>
  <c r="CK81" i="1"/>
  <c r="BD81" i="1"/>
  <c r="BQ73" i="1"/>
  <c r="BD73" i="1"/>
  <c r="CK65" i="1"/>
  <c r="BD65" i="1"/>
  <c r="BQ57" i="1"/>
  <c r="BD57" i="1"/>
  <c r="BQ49" i="1"/>
  <c r="BD49" i="1"/>
  <c r="BQ41" i="1"/>
  <c r="BD41" i="1"/>
  <c r="BQ33" i="1"/>
  <c r="BD33" i="1"/>
  <c r="BQ25" i="1"/>
  <c r="BD25" i="1"/>
  <c r="BQ17" i="1"/>
  <c r="BD17" i="1"/>
  <c r="BC12" i="1" a="1"/>
  <c r="BC12" i="1" s="1"/>
  <c r="AI13" i="1"/>
  <c r="BC13" i="1" a="1"/>
  <c r="BC13" i="1" s="1"/>
  <c r="A14" i="1"/>
  <c r="BC14" i="1" a="1"/>
  <c r="BC14" i="1" s="1"/>
  <c r="BQ12" i="1"/>
  <c r="AI12" i="1"/>
  <c r="CK108" i="1"/>
  <c r="CK100" i="1"/>
  <c r="CK92" i="1"/>
  <c r="CK84" i="1"/>
  <c r="CK76" i="1"/>
  <c r="CK68" i="1"/>
  <c r="BQ60" i="1"/>
  <c r="CK52" i="1"/>
  <c r="CK44" i="1"/>
  <c r="CK36" i="1"/>
  <c r="CK28" i="1"/>
  <c r="CK20" i="1"/>
  <c r="CK107" i="1"/>
  <c r="BQ99" i="1"/>
  <c r="BQ91" i="1"/>
  <c r="BQ83" i="1"/>
  <c r="BQ75" i="1"/>
  <c r="CK67" i="1"/>
  <c r="BQ59" i="1"/>
  <c r="BQ51" i="1"/>
  <c r="BQ43" i="1"/>
  <c r="BQ35" i="1"/>
  <c r="BQ27" i="1"/>
  <c r="BQ19" i="1"/>
  <c r="A109" i="1"/>
  <c r="A101" i="1"/>
  <c r="A93" i="1"/>
  <c r="A85" i="1"/>
  <c r="A77" i="1"/>
  <c r="A69" i="1"/>
  <c r="A61" i="1"/>
  <c r="A53" i="1"/>
  <c r="A45" i="1"/>
  <c r="A37" i="1"/>
  <c r="A29" i="1"/>
  <c r="A21" i="1"/>
  <c r="A108" i="1"/>
  <c r="A100" i="1"/>
  <c r="A92" i="1"/>
  <c r="A84" i="1"/>
  <c r="A76" i="1"/>
  <c r="A68" i="1"/>
  <c r="A60" i="1"/>
  <c r="A52" i="1"/>
  <c r="A44" i="1"/>
  <c r="A36" i="1"/>
  <c r="A28" i="1"/>
  <c r="A20" i="1"/>
  <c r="A107" i="1"/>
  <c r="A99" i="1"/>
  <c r="A91" i="1"/>
  <c r="A83" i="1"/>
  <c r="A75" i="1"/>
  <c r="A67" i="1"/>
  <c r="A59" i="1"/>
  <c r="A51" i="1"/>
  <c r="A43" i="1"/>
  <c r="A35" i="1"/>
  <c r="A27" i="1"/>
  <c r="A19" i="1"/>
  <c r="A106" i="1"/>
  <c r="A98" i="1"/>
  <c r="A90" i="1"/>
  <c r="A82" i="1"/>
  <c r="A74" i="1"/>
  <c r="A66" i="1"/>
  <c r="A58" i="1"/>
  <c r="A50" i="1"/>
  <c r="A42" i="1"/>
  <c r="A34" i="1"/>
  <c r="A26" i="1"/>
  <c r="A18" i="1"/>
  <c r="A105" i="1"/>
  <c r="A97" i="1"/>
  <c r="A89" i="1"/>
  <c r="A81" i="1"/>
  <c r="A73" i="1"/>
  <c r="A65" i="1"/>
  <c r="A57" i="1"/>
  <c r="A49" i="1"/>
  <c r="A41" i="1"/>
  <c r="A33" i="1"/>
  <c r="A25" i="1"/>
  <c r="A17" i="1"/>
  <c r="A104" i="1"/>
  <c r="A96" i="1"/>
  <c r="A88" i="1"/>
  <c r="A80" i="1"/>
  <c r="A72" i="1"/>
  <c r="A64" i="1"/>
  <c r="A56" i="1"/>
  <c r="A48" i="1"/>
  <c r="A40" i="1"/>
  <c r="A32" i="1"/>
  <c r="A24" i="1"/>
  <c r="A16" i="1"/>
  <c r="A111" i="1"/>
  <c r="A103" i="1"/>
  <c r="A95" i="1"/>
  <c r="A87" i="1"/>
  <c r="A79" i="1"/>
  <c r="A71" i="1"/>
  <c r="A63" i="1"/>
  <c r="A55" i="1"/>
  <c r="A47" i="1"/>
  <c r="A39" i="1"/>
  <c r="A31" i="1"/>
  <c r="A23" i="1"/>
  <c r="A15" i="1"/>
  <c r="A110" i="1"/>
  <c r="A102" i="1"/>
  <c r="A94" i="1"/>
  <c r="A86" i="1"/>
  <c r="A78" i="1"/>
  <c r="A70" i="1"/>
  <c r="A62" i="1"/>
  <c r="A54" i="1"/>
  <c r="A46" i="1"/>
  <c r="A38" i="1"/>
  <c r="A30" i="1"/>
  <c r="A22" i="1"/>
  <c r="A13" i="1"/>
  <c r="A12" i="1"/>
  <c r="AI27" i="1"/>
  <c r="AI67" i="1"/>
  <c r="CK40" i="1"/>
  <c r="AI43" i="1"/>
  <c r="CG43" i="1"/>
  <c r="AI75" i="1"/>
  <c r="CG75" i="1"/>
  <c r="CK48" i="1"/>
  <c r="AI91" i="1"/>
  <c r="CG83" i="1"/>
  <c r="AI107" i="1"/>
  <c r="CG91" i="1"/>
  <c r="CG19" i="1"/>
  <c r="CK104" i="1"/>
  <c r="CG27" i="1"/>
  <c r="CG107" i="1"/>
  <c r="AI35" i="1"/>
  <c r="AI99" i="1"/>
  <c r="CC30" i="1"/>
  <c r="CG51" i="1"/>
  <c r="CK72" i="1"/>
  <c r="CC94" i="1"/>
  <c r="BQ88" i="1"/>
  <c r="CK32" i="1"/>
  <c r="CC54" i="1"/>
  <c r="CK96" i="1"/>
  <c r="CC70" i="1"/>
  <c r="AI51" i="1"/>
  <c r="CC13" i="1"/>
  <c r="CG35" i="1"/>
  <c r="CK56" i="1"/>
  <c r="CC78" i="1"/>
  <c r="CG99" i="1"/>
  <c r="AI59" i="1"/>
  <c r="CK16" i="1"/>
  <c r="CC38" i="1"/>
  <c r="CG59" i="1"/>
  <c r="CK80" i="1"/>
  <c r="CC102" i="1"/>
  <c r="CC62" i="1"/>
  <c r="CC22" i="1"/>
  <c r="CK64" i="1"/>
  <c r="CC86" i="1"/>
  <c r="AI19" i="1"/>
  <c r="AI83" i="1"/>
  <c r="CK24" i="1"/>
  <c r="CC46" i="1"/>
  <c r="CG67" i="1"/>
  <c r="CK88" i="1"/>
  <c r="CC110" i="1"/>
  <c r="BI64" i="1"/>
  <c r="AI17" i="1"/>
  <c r="AI25" i="1"/>
  <c r="AI33" i="1"/>
  <c r="AI41" i="1"/>
  <c r="AI49" i="1"/>
  <c r="AI57" i="1"/>
  <c r="AI65" i="1"/>
  <c r="AI73" i="1"/>
  <c r="AI81" i="1"/>
  <c r="AI89" i="1"/>
  <c r="AI97" i="1"/>
  <c r="AI105" i="1"/>
  <c r="CG12" i="1"/>
  <c r="CC16" i="1"/>
  <c r="CK18" i="1"/>
  <c r="CG21" i="1"/>
  <c r="CC24" i="1"/>
  <c r="CK26" i="1"/>
  <c r="CG29" i="1"/>
  <c r="CC32" i="1"/>
  <c r="CK34" i="1"/>
  <c r="CG37" i="1"/>
  <c r="CC40" i="1"/>
  <c r="CK42" i="1"/>
  <c r="CG45" i="1"/>
  <c r="CC48" i="1"/>
  <c r="CK50" i="1"/>
  <c r="CG53" i="1"/>
  <c r="CC56" i="1"/>
  <c r="CK58" i="1"/>
  <c r="CG61" i="1"/>
  <c r="CC64" i="1"/>
  <c r="CK66" i="1"/>
  <c r="CG69" i="1"/>
  <c r="CC72" i="1"/>
  <c r="CK74" i="1"/>
  <c r="CG77" i="1"/>
  <c r="CC80" i="1"/>
  <c r="CK82" i="1"/>
  <c r="CG85" i="1"/>
  <c r="CC88" i="1"/>
  <c r="CK90" i="1"/>
  <c r="CG93" i="1"/>
  <c r="CC96" i="1"/>
  <c r="CK98" i="1"/>
  <c r="CG101" i="1"/>
  <c r="CC104" i="1"/>
  <c r="CK106" i="1"/>
  <c r="CG109" i="1"/>
  <c r="BQ107" i="1"/>
  <c r="AI18" i="1"/>
  <c r="AI26" i="1"/>
  <c r="AI34" i="1"/>
  <c r="AI42" i="1"/>
  <c r="AI50" i="1"/>
  <c r="AI58" i="1"/>
  <c r="AI66" i="1"/>
  <c r="AI74" i="1"/>
  <c r="AI82" i="1"/>
  <c r="AI90" i="1"/>
  <c r="AI98" i="1"/>
  <c r="AI106" i="1"/>
  <c r="CK12" i="1"/>
  <c r="CG16" i="1"/>
  <c r="CC19" i="1"/>
  <c r="CK21" i="1"/>
  <c r="CG24" i="1"/>
  <c r="CC27" i="1"/>
  <c r="CK29" i="1"/>
  <c r="CG32" i="1"/>
  <c r="CC35" i="1"/>
  <c r="CK37" i="1"/>
  <c r="CG40" i="1"/>
  <c r="CC43" i="1"/>
  <c r="CK45" i="1"/>
  <c r="CG48" i="1"/>
  <c r="CC51" i="1"/>
  <c r="CK53" i="1"/>
  <c r="CG56" i="1"/>
  <c r="CC59" i="1"/>
  <c r="CK61" i="1"/>
  <c r="CG64" i="1"/>
  <c r="CC67" i="1"/>
  <c r="CK69" i="1"/>
  <c r="CG72" i="1"/>
  <c r="CC75" i="1"/>
  <c r="CK77" i="1"/>
  <c r="CG80" i="1"/>
  <c r="CC83" i="1"/>
  <c r="CK85" i="1"/>
  <c r="CG88" i="1"/>
  <c r="CC91" i="1"/>
  <c r="CK93" i="1"/>
  <c r="CG96" i="1"/>
  <c r="CC99" i="1"/>
  <c r="CK101" i="1"/>
  <c r="CG104" i="1"/>
  <c r="CC107" i="1"/>
  <c r="CK109" i="1"/>
  <c r="BQ81" i="1"/>
  <c r="AI20" i="1"/>
  <c r="AI28" i="1"/>
  <c r="AI36" i="1"/>
  <c r="AI44" i="1"/>
  <c r="AI52" i="1"/>
  <c r="AI60" i="1"/>
  <c r="AI68" i="1"/>
  <c r="AI76" i="1"/>
  <c r="AI84" i="1"/>
  <c r="AI92" i="1"/>
  <c r="AI100" i="1"/>
  <c r="AI108" i="1"/>
  <c r="CG13" i="1"/>
  <c r="CC17" i="1"/>
  <c r="CK19" i="1"/>
  <c r="CG22" i="1"/>
  <c r="CC25" i="1"/>
  <c r="CK27" i="1"/>
  <c r="CG30" i="1"/>
  <c r="CC33" i="1"/>
  <c r="CK35" i="1"/>
  <c r="CG38" i="1"/>
  <c r="CC41" i="1"/>
  <c r="CK43" i="1"/>
  <c r="CG46" i="1"/>
  <c r="CC49" i="1"/>
  <c r="CK51" i="1"/>
  <c r="CG54" i="1"/>
  <c r="CC57" i="1"/>
  <c r="CK59" i="1"/>
  <c r="CG62" i="1"/>
  <c r="CC65" i="1"/>
  <c r="CG70" i="1"/>
  <c r="CC73" i="1"/>
  <c r="CK75" i="1"/>
  <c r="CG78" i="1"/>
  <c r="CC81" i="1"/>
  <c r="CK83" i="1"/>
  <c r="CG86" i="1"/>
  <c r="CC89" i="1"/>
  <c r="CK91" i="1"/>
  <c r="CG94" i="1"/>
  <c r="CC97" i="1"/>
  <c r="CK99" i="1"/>
  <c r="CG102" i="1"/>
  <c r="CC105" i="1"/>
  <c r="CG110" i="1"/>
  <c r="AI21" i="1"/>
  <c r="AI29" i="1"/>
  <c r="AI37" i="1"/>
  <c r="AI45" i="1"/>
  <c r="AI53" i="1"/>
  <c r="AI61" i="1"/>
  <c r="AI69" i="1"/>
  <c r="AI77" i="1"/>
  <c r="AI85" i="1"/>
  <c r="AI93" i="1"/>
  <c r="AI101" i="1"/>
  <c r="AI109" i="1"/>
  <c r="CK13" i="1"/>
  <c r="CG17" i="1"/>
  <c r="CC20" i="1"/>
  <c r="CK22" i="1"/>
  <c r="CG25" i="1"/>
  <c r="CC28" i="1"/>
  <c r="CK30" i="1"/>
  <c r="CG33" i="1"/>
  <c r="CC36" i="1"/>
  <c r="CK38" i="1"/>
  <c r="CG41" i="1"/>
  <c r="CC44" i="1"/>
  <c r="CK46" i="1"/>
  <c r="CG49" i="1"/>
  <c r="CC52" i="1"/>
  <c r="CK54" i="1"/>
  <c r="CG57" i="1"/>
  <c r="CC60" i="1"/>
  <c r="CK62" i="1"/>
  <c r="CG65" i="1"/>
  <c r="CC68" i="1"/>
  <c r="CK70" i="1"/>
  <c r="CG73" i="1"/>
  <c r="CC76" i="1"/>
  <c r="CK78" i="1"/>
  <c r="CG81" i="1"/>
  <c r="CC84" i="1"/>
  <c r="CK86" i="1"/>
  <c r="CG89" i="1"/>
  <c r="CC92" i="1"/>
  <c r="CK94" i="1"/>
  <c r="CG97" i="1"/>
  <c r="CC100" i="1"/>
  <c r="CK102" i="1"/>
  <c r="CG105" i="1"/>
  <c r="CC108" i="1"/>
  <c r="CK110" i="1"/>
  <c r="BQ58" i="1"/>
  <c r="AI46" i="1"/>
  <c r="AI62" i="1"/>
  <c r="AI70" i="1"/>
  <c r="CC15" i="1"/>
  <c r="CK17" i="1"/>
  <c r="CG20" i="1"/>
  <c r="CC23" i="1"/>
  <c r="CK25" i="1"/>
  <c r="CG28" i="1"/>
  <c r="CC31" i="1"/>
  <c r="CK33" i="1"/>
  <c r="CG36" i="1"/>
  <c r="CC39" i="1"/>
  <c r="CK41" i="1"/>
  <c r="CG44" i="1"/>
  <c r="CC47" i="1"/>
  <c r="CK49" i="1"/>
  <c r="CG52" i="1"/>
  <c r="CC55" i="1"/>
  <c r="CK57" i="1"/>
  <c r="CG60" i="1"/>
  <c r="CC63" i="1"/>
  <c r="CG68" i="1"/>
  <c r="CC71" i="1"/>
  <c r="CK73" i="1"/>
  <c r="CG76" i="1"/>
  <c r="CC79" i="1"/>
  <c r="CG84" i="1"/>
  <c r="CC87" i="1"/>
  <c r="CK89" i="1"/>
  <c r="CG92" i="1"/>
  <c r="CC95" i="1"/>
  <c r="CK97" i="1"/>
  <c r="CG100" i="1"/>
  <c r="CC103" i="1"/>
  <c r="CK105" i="1"/>
  <c r="CG108" i="1"/>
  <c r="CC111" i="1"/>
  <c r="AI15" i="1"/>
  <c r="AI23" i="1"/>
  <c r="AI31" i="1"/>
  <c r="AI39" i="1"/>
  <c r="AI47" i="1"/>
  <c r="AI55" i="1"/>
  <c r="AI63" i="1"/>
  <c r="AI71" i="1"/>
  <c r="AI79" i="1"/>
  <c r="AI87" i="1"/>
  <c r="AI95" i="1"/>
  <c r="AI103" i="1"/>
  <c r="AI111" i="1"/>
  <c r="CG15" i="1"/>
  <c r="CC18" i="1"/>
  <c r="CG23" i="1"/>
  <c r="CC26" i="1"/>
  <c r="CG31" i="1"/>
  <c r="CC34" i="1"/>
  <c r="CG39" i="1"/>
  <c r="CC42" i="1"/>
  <c r="CG47" i="1"/>
  <c r="CC50" i="1"/>
  <c r="CG55" i="1"/>
  <c r="CC58" i="1"/>
  <c r="CK60" i="1"/>
  <c r="CG63" i="1"/>
  <c r="CC66" i="1"/>
  <c r="CG71" i="1"/>
  <c r="CC74" i="1"/>
  <c r="CG79" i="1"/>
  <c r="CC82" i="1"/>
  <c r="CG87" i="1"/>
  <c r="CC90" i="1"/>
  <c r="CG95" i="1"/>
  <c r="CC98" i="1"/>
  <c r="CG103" i="1"/>
  <c r="CC106" i="1"/>
  <c r="CG111" i="1"/>
  <c r="AI24" i="1"/>
  <c r="AI32" i="1"/>
  <c r="AI40" i="1"/>
  <c r="AI48" i="1"/>
  <c r="AI56" i="1"/>
  <c r="AI72" i="1"/>
  <c r="AI80" i="1"/>
  <c r="AI88" i="1"/>
  <c r="AI96" i="1"/>
  <c r="AI104" i="1"/>
  <c r="CC12" i="1"/>
  <c r="CG18" i="1"/>
  <c r="CG34" i="1"/>
  <c r="CG50" i="1"/>
  <c r="CC61" i="1"/>
  <c r="CC69" i="1"/>
  <c r="CC101" i="1"/>
  <c r="CC14" i="1"/>
  <c r="AI14" i="1"/>
  <c r="CG14" i="1"/>
  <c r="CK14" i="1"/>
  <c r="BB64" i="1"/>
  <c r="BB24" i="1"/>
  <c r="BB62" i="1"/>
  <c r="BB104" i="1"/>
  <c r="BB32" i="1"/>
  <c r="BB22" i="1"/>
  <c r="BI56" i="1"/>
  <c r="BB72" i="1"/>
  <c r="BB70" i="1"/>
  <c r="BB96" i="1"/>
  <c r="BB80" i="1"/>
  <c r="BB102" i="1"/>
  <c r="BB48" i="1"/>
  <c r="BB30" i="1"/>
  <c r="BQ104" i="1"/>
  <c r="BB94" i="1"/>
  <c r="BB40" i="1"/>
  <c r="BB88" i="1"/>
  <c r="BB78" i="1"/>
  <c r="BB56" i="1"/>
  <c r="BB38" i="1"/>
  <c r="BQ96" i="1"/>
  <c r="BI12" i="1"/>
  <c r="BB57" i="1"/>
  <c r="BI72" i="1"/>
  <c r="BB65" i="1"/>
  <c r="BB73" i="1"/>
  <c r="BB81" i="1"/>
  <c r="BB17" i="1"/>
  <c r="BI48" i="1"/>
  <c r="BQ24" i="1"/>
  <c r="BQ40" i="1"/>
  <c r="BM79" i="1"/>
  <c r="BM108" i="1"/>
  <c r="BI100" i="1"/>
  <c r="BM92" i="1"/>
  <c r="BI84" i="1"/>
  <c r="BI76" i="1"/>
  <c r="BI68" i="1"/>
  <c r="BI60" i="1"/>
  <c r="BI52" i="1"/>
  <c r="BI44" i="1"/>
  <c r="BQ44" i="1"/>
  <c r="BI36" i="1"/>
  <c r="BQ36" i="1"/>
  <c r="BI28" i="1"/>
  <c r="BQ28" i="1"/>
  <c r="BI20" i="1"/>
  <c r="BQ20" i="1"/>
  <c r="BQ109" i="1"/>
  <c r="BQ93" i="1"/>
  <c r="BQ85" i="1"/>
  <c r="BQ77" i="1"/>
  <c r="BQ68" i="1"/>
  <c r="BM111" i="1"/>
  <c r="BM71" i="1"/>
  <c r="BQ71" i="1"/>
  <c r="BM39" i="1"/>
  <c r="BQ39" i="1"/>
  <c r="BM102" i="1"/>
  <c r="BM86" i="1"/>
  <c r="BM54" i="1"/>
  <c r="BM30" i="1"/>
  <c r="BQ30" i="1"/>
  <c r="BQ103" i="1"/>
  <c r="BM101" i="1"/>
  <c r="BM69" i="1"/>
  <c r="BM45" i="1"/>
  <c r="BQ45" i="1"/>
  <c r="BM13" i="1"/>
  <c r="BQ13" i="1"/>
  <c r="BQ102" i="1"/>
  <c r="BQ86" i="1"/>
  <c r="BQ69" i="1"/>
  <c r="BI107" i="1"/>
  <c r="BI99" i="1"/>
  <c r="BI91" i="1"/>
  <c r="BI83" i="1"/>
  <c r="BI75" i="1"/>
  <c r="BI67" i="1"/>
  <c r="BI59" i="1"/>
  <c r="BI51" i="1"/>
  <c r="BI43" i="1"/>
  <c r="BI35" i="1"/>
  <c r="BI27" i="1"/>
  <c r="BI19" i="1"/>
  <c r="BQ108" i="1"/>
  <c r="BQ100" i="1"/>
  <c r="BQ92" i="1"/>
  <c r="BQ84" i="1"/>
  <c r="BQ76" i="1"/>
  <c r="BQ67" i="1"/>
  <c r="BQ32" i="1"/>
  <c r="BQ16" i="1"/>
  <c r="BM95" i="1"/>
  <c r="BM55" i="1"/>
  <c r="BQ55" i="1"/>
  <c r="BM23" i="1"/>
  <c r="BQ23" i="1"/>
  <c r="BM62" i="1"/>
  <c r="BQ87" i="1"/>
  <c r="BM85" i="1"/>
  <c r="BM37" i="1"/>
  <c r="BQ37" i="1"/>
  <c r="BI106" i="1"/>
  <c r="BI98" i="1"/>
  <c r="BI90" i="1"/>
  <c r="BI82" i="1"/>
  <c r="BI74" i="1"/>
  <c r="BI66" i="1"/>
  <c r="BI58" i="1"/>
  <c r="BI50" i="1"/>
  <c r="BI42" i="1"/>
  <c r="BI34" i="1"/>
  <c r="BI26" i="1"/>
  <c r="BI18" i="1"/>
  <c r="BQ66" i="1"/>
  <c r="BM87" i="1"/>
  <c r="BM63" i="1"/>
  <c r="BQ63" i="1"/>
  <c r="BM31" i="1"/>
  <c r="BQ31" i="1"/>
  <c r="BM15" i="1"/>
  <c r="BQ15" i="1"/>
  <c r="BM94" i="1"/>
  <c r="BM70" i="1"/>
  <c r="BM46" i="1"/>
  <c r="BM22" i="1"/>
  <c r="BQ22" i="1"/>
  <c r="BQ111" i="1"/>
  <c r="BM109" i="1"/>
  <c r="BM77" i="1"/>
  <c r="BM53" i="1"/>
  <c r="BQ53" i="1"/>
  <c r="BM21" i="1"/>
  <c r="BQ21" i="1"/>
  <c r="BQ94" i="1"/>
  <c r="BI105" i="1"/>
  <c r="BI97" i="1"/>
  <c r="BI89" i="1"/>
  <c r="BI81" i="1"/>
  <c r="BI73" i="1"/>
  <c r="BI65" i="1"/>
  <c r="BI57" i="1"/>
  <c r="BI49" i="1"/>
  <c r="BI41" i="1"/>
  <c r="BI33" i="1"/>
  <c r="BI25" i="1"/>
  <c r="BI17" i="1"/>
  <c r="BQ106" i="1"/>
  <c r="BQ98" i="1"/>
  <c r="BQ90" i="1"/>
  <c r="BQ82" i="1"/>
  <c r="BQ74" i="1"/>
  <c r="BQ65" i="1"/>
  <c r="BQ54" i="1"/>
  <c r="BQ42" i="1"/>
  <c r="BQ26" i="1"/>
  <c r="BM103" i="1"/>
  <c r="BM47" i="1"/>
  <c r="BQ47" i="1"/>
  <c r="BM110" i="1"/>
  <c r="BM78" i="1"/>
  <c r="BM38" i="1"/>
  <c r="BQ38" i="1"/>
  <c r="BM14" i="1"/>
  <c r="BQ14" i="1"/>
  <c r="BQ95" i="1"/>
  <c r="BQ79" i="1"/>
  <c r="BM93" i="1"/>
  <c r="BM61" i="1"/>
  <c r="BQ61" i="1"/>
  <c r="BM29" i="1"/>
  <c r="BQ29" i="1"/>
  <c r="BQ110" i="1"/>
  <c r="BQ78" i="1"/>
  <c r="BM12" i="1"/>
  <c r="BM104" i="1"/>
  <c r="BM96" i="1"/>
  <c r="BM88" i="1"/>
  <c r="BM80" i="1"/>
  <c r="BM72" i="1"/>
  <c r="BM64" i="1"/>
  <c r="BM56" i="1"/>
  <c r="BM48" i="1"/>
  <c r="BM40" i="1"/>
  <c r="BM32" i="1"/>
  <c r="BM24" i="1"/>
  <c r="BM16" i="1"/>
  <c r="BI80" i="1"/>
  <c r="BI16" i="1"/>
  <c r="BQ64" i="1"/>
  <c r="BQ52" i="1"/>
  <c r="BM100" i="1"/>
  <c r="BM68" i="1"/>
  <c r="BM52" i="1"/>
  <c r="BM36" i="1"/>
  <c r="BM20" i="1"/>
  <c r="BI111" i="1"/>
  <c r="BI103" i="1"/>
  <c r="BI95" i="1"/>
  <c r="BI87" i="1"/>
  <c r="BI79" i="1"/>
  <c r="BI71" i="1"/>
  <c r="BI63" i="1"/>
  <c r="BI55" i="1"/>
  <c r="BI47" i="1"/>
  <c r="BI39" i="1"/>
  <c r="BI31" i="1"/>
  <c r="BI23" i="1"/>
  <c r="BI15" i="1"/>
  <c r="BM107" i="1"/>
  <c r="BM99" i="1"/>
  <c r="BM91" i="1"/>
  <c r="BM83" i="1"/>
  <c r="BM75" i="1"/>
  <c r="BM67" i="1"/>
  <c r="BM59" i="1"/>
  <c r="BM51" i="1"/>
  <c r="BM43" i="1"/>
  <c r="BM35" i="1"/>
  <c r="BM27" i="1"/>
  <c r="BM19" i="1"/>
  <c r="BM84" i="1"/>
  <c r="BI110" i="1"/>
  <c r="BI102" i="1"/>
  <c r="BI94" i="1"/>
  <c r="BI86" i="1"/>
  <c r="BI78" i="1"/>
  <c r="BI70" i="1"/>
  <c r="BI62" i="1"/>
  <c r="BI54" i="1"/>
  <c r="BI46" i="1"/>
  <c r="BI38" i="1"/>
  <c r="BI30" i="1"/>
  <c r="BI22" i="1"/>
  <c r="BI14" i="1"/>
  <c r="BM106" i="1"/>
  <c r="BM98" i="1"/>
  <c r="BM90" i="1"/>
  <c r="BM82" i="1"/>
  <c r="BM74" i="1"/>
  <c r="BM66" i="1"/>
  <c r="BM58" i="1"/>
  <c r="BM50" i="1"/>
  <c r="BM42" i="1"/>
  <c r="BM34" i="1"/>
  <c r="BM26" i="1"/>
  <c r="BM18" i="1"/>
  <c r="BI109" i="1"/>
  <c r="BI101" i="1"/>
  <c r="BI93" i="1"/>
  <c r="BI85" i="1"/>
  <c r="BI77" i="1"/>
  <c r="BI69" i="1"/>
  <c r="BI61" i="1"/>
  <c r="BI53" i="1"/>
  <c r="BI45" i="1"/>
  <c r="BI37" i="1"/>
  <c r="BI29" i="1"/>
  <c r="BI21" i="1"/>
  <c r="BI13" i="1"/>
  <c r="BM105" i="1"/>
  <c r="BM97" i="1"/>
  <c r="BM89" i="1"/>
  <c r="BM81" i="1"/>
  <c r="BM73" i="1"/>
  <c r="BM65" i="1"/>
  <c r="BM57" i="1"/>
  <c r="BM49" i="1"/>
  <c r="BM41" i="1"/>
  <c r="BM33" i="1"/>
  <c r="BM25" i="1"/>
  <c r="BM17" i="1"/>
  <c r="BM76" i="1"/>
  <c r="BM60" i="1"/>
  <c r="BM44" i="1"/>
  <c r="BM28" i="1"/>
  <c r="BI108" i="1"/>
  <c r="BI92" i="1"/>
  <c r="AY13" i="1" a="1"/>
  <c r="AY13" i="1" s="1"/>
  <c r="AZ13" i="1" s="1"/>
  <c r="AY14" i="1" a="1"/>
  <c r="AY14" i="1" s="1"/>
  <c r="AY15" i="1" a="1"/>
  <c r="AY15" i="1" s="1"/>
  <c r="AZ15" i="1" s="1"/>
  <c r="AY16" i="1" a="1"/>
  <c r="AY16" i="1" s="1"/>
  <c r="AZ16" i="1" s="1"/>
  <c r="AY17" i="1" a="1"/>
  <c r="AY17" i="1" s="1"/>
  <c r="AZ17" i="1" s="1"/>
  <c r="AY18" i="1" a="1"/>
  <c r="AY18" i="1" s="1"/>
  <c r="AZ18" i="1" s="1"/>
  <c r="AY19" i="1" a="1"/>
  <c r="AY19" i="1" s="1"/>
  <c r="AZ19" i="1" s="1"/>
  <c r="AY20" i="1" a="1"/>
  <c r="AY20" i="1" s="1"/>
  <c r="AZ20" i="1" s="1"/>
  <c r="AY21" i="1" a="1"/>
  <c r="AY21" i="1" s="1"/>
  <c r="AZ21" i="1" s="1"/>
  <c r="AY22" i="1" a="1"/>
  <c r="AY22" i="1" s="1"/>
  <c r="AZ22" i="1" s="1"/>
  <c r="AY23" i="1" a="1"/>
  <c r="AY23" i="1" s="1"/>
  <c r="AZ23" i="1" s="1"/>
  <c r="AY24" i="1" a="1"/>
  <c r="AY24" i="1" s="1"/>
  <c r="AZ24" i="1" s="1"/>
  <c r="AY25" i="1" a="1"/>
  <c r="AY25" i="1" s="1"/>
  <c r="AZ25" i="1" s="1"/>
  <c r="AY26" i="1" a="1"/>
  <c r="AY26" i="1" s="1"/>
  <c r="AZ26" i="1" s="1"/>
  <c r="AY27" i="1" a="1"/>
  <c r="AY27" i="1" s="1"/>
  <c r="AZ27" i="1" s="1"/>
  <c r="AY28" i="1" a="1"/>
  <c r="AY28" i="1" s="1"/>
  <c r="AZ28" i="1" s="1"/>
  <c r="AY29" i="1" a="1"/>
  <c r="AY29" i="1" s="1"/>
  <c r="AZ29" i="1" s="1"/>
  <c r="AY30" i="1" a="1"/>
  <c r="AY30" i="1" s="1"/>
  <c r="AZ30" i="1" s="1"/>
  <c r="AY31" i="1" a="1"/>
  <c r="AY31" i="1" s="1"/>
  <c r="AZ31" i="1" s="1"/>
  <c r="AY32" i="1" a="1"/>
  <c r="AY32" i="1" s="1"/>
  <c r="AZ32" i="1" s="1"/>
  <c r="AY33" i="1" a="1"/>
  <c r="AY33" i="1" s="1"/>
  <c r="AZ33" i="1" s="1"/>
  <c r="AY34" i="1" a="1"/>
  <c r="AY34" i="1" s="1"/>
  <c r="AZ34" i="1" s="1"/>
  <c r="AY35" i="1" a="1"/>
  <c r="AY35" i="1" s="1"/>
  <c r="AZ35" i="1" s="1"/>
  <c r="AY36" i="1" a="1"/>
  <c r="AY36" i="1" s="1"/>
  <c r="AZ36" i="1" s="1"/>
  <c r="AY37" i="1" a="1"/>
  <c r="AY37" i="1" s="1"/>
  <c r="AZ37" i="1" s="1"/>
  <c r="AY38" i="1" a="1"/>
  <c r="AY38" i="1" s="1"/>
  <c r="AZ38" i="1" s="1"/>
  <c r="AY39" i="1" a="1"/>
  <c r="AY39" i="1" s="1"/>
  <c r="AZ39" i="1" s="1"/>
  <c r="AY40" i="1" a="1"/>
  <c r="AY40" i="1" s="1"/>
  <c r="AZ40" i="1" s="1"/>
  <c r="AY41" i="1" a="1"/>
  <c r="AY41" i="1" s="1"/>
  <c r="AZ41" i="1" s="1"/>
  <c r="AY42" i="1" a="1"/>
  <c r="AY42" i="1" s="1"/>
  <c r="AZ42" i="1" s="1"/>
  <c r="AY43" i="1" a="1"/>
  <c r="AY43" i="1" s="1"/>
  <c r="AZ43" i="1" s="1"/>
  <c r="AY44" i="1" a="1"/>
  <c r="AY44" i="1" s="1"/>
  <c r="AZ44" i="1" s="1"/>
  <c r="AY45" i="1" a="1"/>
  <c r="AY45" i="1" s="1"/>
  <c r="AZ45" i="1" s="1"/>
  <c r="AY46" i="1" a="1"/>
  <c r="AY46" i="1" s="1"/>
  <c r="AZ46" i="1" s="1"/>
  <c r="AY47" i="1" a="1"/>
  <c r="AY47" i="1" s="1"/>
  <c r="AZ47" i="1" s="1"/>
  <c r="AY48" i="1" a="1"/>
  <c r="AY48" i="1" s="1"/>
  <c r="AZ48" i="1" s="1"/>
  <c r="AY49" i="1" a="1"/>
  <c r="AY49" i="1" s="1"/>
  <c r="AZ49" i="1" s="1"/>
  <c r="AY50" i="1" a="1"/>
  <c r="AY50" i="1" s="1"/>
  <c r="AZ50" i="1" s="1"/>
  <c r="AY51" i="1" a="1"/>
  <c r="AY51" i="1" s="1"/>
  <c r="AZ51" i="1" s="1"/>
  <c r="AY52" i="1" a="1"/>
  <c r="AY52" i="1" s="1"/>
  <c r="AZ52" i="1" s="1"/>
  <c r="AY53" i="1" a="1"/>
  <c r="AY53" i="1" s="1"/>
  <c r="AZ53" i="1" s="1"/>
  <c r="AY54" i="1" a="1"/>
  <c r="AY54" i="1" s="1"/>
  <c r="AZ54" i="1" s="1"/>
  <c r="AY55" i="1" a="1"/>
  <c r="AY55" i="1" s="1"/>
  <c r="AZ55" i="1" s="1"/>
  <c r="AY56" i="1" a="1"/>
  <c r="AY56" i="1" s="1"/>
  <c r="AZ56" i="1" s="1"/>
  <c r="AY57" i="1" a="1"/>
  <c r="AY57" i="1" s="1"/>
  <c r="AZ57" i="1" s="1"/>
  <c r="AY58" i="1" a="1"/>
  <c r="AY58" i="1" s="1"/>
  <c r="AZ58" i="1" s="1"/>
  <c r="AY59" i="1" a="1"/>
  <c r="AY59" i="1" s="1"/>
  <c r="AZ59" i="1" s="1"/>
  <c r="AY60" i="1" a="1"/>
  <c r="AY60" i="1" s="1"/>
  <c r="AZ60" i="1" s="1"/>
  <c r="AY61" i="1" a="1"/>
  <c r="AY61" i="1" s="1"/>
  <c r="AZ61" i="1" s="1"/>
  <c r="AY62" i="1" a="1"/>
  <c r="AY62" i="1" s="1"/>
  <c r="AZ62" i="1" s="1"/>
  <c r="AY63" i="1" a="1"/>
  <c r="AY63" i="1" s="1"/>
  <c r="AZ63" i="1" s="1"/>
  <c r="AY64" i="1" a="1"/>
  <c r="AY64" i="1" s="1"/>
  <c r="AZ64" i="1" s="1"/>
  <c r="AY65" i="1" a="1"/>
  <c r="AY65" i="1" s="1"/>
  <c r="AZ65" i="1" s="1"/>
  <c r="AY66" i="1" a="1"/>
  <c r="AY66" i="1" s="1"/>
  <c r="AZ66" i="1" s="1"/>
  <c r="AY67" i="1" a="1"/>
  <c r="AY67" i="1" s="1"/>
  <c r="AZ67" i="1" s="1"/>
  <c r="AY68" i="1" a="1"/>
  <c r="AY68" i="1" s="1"/>
  <c r="AZ68" i="1" s="1"/>
  <c r="AY69" i="1" a="1"/>
  <c r="AY69" i="1" s="1"/>
  <c r="AZ69" i="1" s="1"/>
  <c r="AY70" i="1" a="1"/>
  <c r="AY70" i="1" s="1"/>
  <c r="AZ70" i="1" s="1"/>
  <c r="AY71" i="1" a="1"/>
  <c r="AY71" i="1" s="1"/>
  <c r="AZ71" i="1" s="1"/>
  <c r="AY72" i="1" a="1"/>
  <c r="AY72" i="1" s="1"/>
  <c r="AZ72" i="1" s="1"/>
  <c r="AY73" i="1" a="1"/>
  <c r="AY73" i="1" s="1"/>
  <c r="AZ73" i="1" s="1"/>
  <c r="AY74" i="1" a="1"/>
  <c r="AY74" i="1" s="1"/>
  <c r="AZ74" i="1" s="1"/>
  <c r="AY75" i="1" a="1"/>
  <c r="AY75" i="1" s="1"/>
  <c r="AZ75" i="1" s="1"/>
  <c r="AY76" i="1" a="1"/>
  <c r="AY76" i="1" s="1"/>
  <c r="AZ76" i="1" s="1"/>
  <c r="AY77" i="1" a="1"/>
  <c r="AY77" i="1" s="1"/>
  <c r="AZ77" i="1" s="1"/>
  <c r="AY78" i="1" a="1"/>
  <c r="AY78" i="1" s="1"/>
  <c r="AZ78" i="1" s="1"/>
  <c r="AY79" i="1" a="1"/>
  <c r="AY79" i="1" s="1"/>
  <c r="AZ79" i="1" s="1"/>
  <c r="AY80" i="1" a="1"/>
  <c r="AY80" i="1" s="1"/>
  <c r="AZ80" i="1" s="1"/>
  <c r="AY81" i="1" a="1"/>
  <c r="AY81" i="1" s="1"/>
  <c r="AZ81" i="1" s="1"/>
  <c r="AY82" i="1" a="1"/>
  <c r="AY82" i="1" s="1"/>
  <c r="AZ82" i="1" s="1"/>
  <c r="AY83" i="1" a="1"/>
  <c r="AY83" i="1" s="1"/>
  <c r="AZ83" i="1" s="1"/>
  <c r="AY84" i="1" a="1"/>
  <c r="AY84" i="1" s="1"/>
  <c r="AZ84" i="1" s="1"/>
  <c r="AY85" i="1" a="1"/>
  <c r="AY85" i="1" s="1"/>
  <c r="AZ85" i="1" s="1"/>
  <c r="AY86" i="1" a="1"/>
  <c r="AY86" i="1" s="1"/>
  <c r="AZ86" i="1" s="1"/>
  <c r="AY87" i="1" a="1"/>
  <c r="AY87" i="1" s="1"/>
  <c r="AZ87" i="1" s="1"/>
  <c r="AY88" i="1" a="1"/>
  <c r="AY88" i="1" s="1"/>
  <c r="AZ88" i="1" s="1"/>
  <c r="AY89" i="1" a="1"/>
  <c r="AY89" i="1" s="1"/>
  <c r="AZ89" i="1" s="1"/>
  <c r="AY90" i="1" a="1"/>
  <c r="AY90" i="1" s="1"/>
  <c r="AZ90" i="1" s="1"/>
  <c r="AY91" i="1" a="1"/>
  <c r="AY91" i="1" s="1"/>
  <c r="AZ91" i="1" s="1"/>
  <c r="AY92" i="1" a="1"/>
  <c r="AY92" i="1" s="1"/>
  <c r="AZ92" i="1" s="1"/>
  <c r="AY93" i="1" a="1"/>
  <c r="AY93" i="1" s="1"/>
  <c r="AZ93" i="1" s="1"/>
  <c r="AY94" i="1" a="1"/>
  <c r="AY94" i="1" s="1"/>
  <c r="AZ94" i="1" s="1"/>
  <c r="AY95" i="1" a="1"/>
  <c r="AY95" i="1" s="1"/>
  <c r="AZ95" i="1" s="1"/>
  <c r="AY96" i="1" a="1"/>
  <c r="AY96" i="1" s="1"/>
  <c r="AZ96" i="1" s="1"/>
  <c r="AY97" i="1" a="1"/>
  <c r="AY97" i="1" s="1"/>
  <c r="AZ97" i="1" s="1"/>
  <c r="AY98" i="1" a="1"/>
  <c r="AY98" i="1" s="1"/>
  <c r="AZ98" i="1" s="1"/>
  <c r="AY99" i="1" a="1"/>
  <c r="AY99" i="1" s="1"/>
  <c r="AZ99" i="1" s="1"/>
  <c r="AY100" i="1" a="1"/>
  <c r="AY100" i="1" s="1"/>
  <c r="AZ100" i="1" s="1"/>
  <c r="AY101" i="1" a="1"/>
  <c r="AY101" i="1" s="1"/>
  <c r="AZ101" i="1" s="1"/>
  <c r="AY102" i="1" a="1"/>
  <c r="AY102" i="1" s="1"/>
  <c r="AZ102" i="1" s="1"/>
  <c r="AY103" i="1" a="1"/>
  <c r="AY103" i="1" s="1"/>
  <c r="AZ103" i="1" s="1"/>
  <c r="AY104" i="1" a="1"/>
  <c r="AY104" i="1" s="1"/>
  <c r="AZ104" i="1" s="1"/>
  <c r="AY105" i="1" a="1"/>
  <c r="AY105" i="1" s="1"/>
  <c r="AZ105" i="1" s="1"/>
  <c r="AY106" i="1" a="1"/>
  <c r="AY106" i="1" s="1"/>
  <c r="AZ106" i="1" s="1"/>
  <c r="AY107" i="1" a="1"/>
  <c r="AY107" i="1" s="1"/>
  <c r="AZ107" i="1" s="1"/>
  <c r="AY108" i="1" a="1"/>
  <c r="AY108" i="1" s="1"/>
  <c r="AZ108" i="1" s="1"/>
  <c r="AY109" i="1" a="1"/>
  <c r="AY109" i="1" s="1"/>
  <c r="AZ109" i="1" s="1"/>
  <c r="AY110" i="1" a="1"/>
  <c r="AY110" i="1" s="1"/>
  <c r="AZ110" i="1" s="1"/>
  <c r="AY111" i="1" a="1"/>
  <c r="AY111" i="1" s="1"/>
  <c r="AZ111" i="1" s="1"/>
  <c r="AY12" i="1" a="1"/>
  <c r="AY12" i="1" s="1"/>
  <c r="AZ12" i="1" s="1"/>
  <c r="BK37" i="1" l="1"/>
  <c r="BK101" i="1"/>
  <c r="BO66" i="1"/>
  <c r="BK30" i="1"/>
  <c r="BO61" i="1"/>
  <c r="BO78" i="1"/>
  <c r="BO109" i="1"/>
  <c r="BK26" i="1"/>
  <c r="BK107" i="1"/>
  <c r="BO69" i="1"/>
  <c r="BS93" i="1"/>
  <c r="BS44" i="1"/>
  <c r="BK100" i="1"/>
  <c r="CE26" i="1"/>
  <c r="CI92" i="1"/>
  <c r="CI44" i="1"/>
  <c r="CM110" i="1"/>
  <c r="CM46" i="1"/>
  <c r="CM69" i="1"/>
  <c r="CI48" i="1"/>
  <c r="CE27" i="1"/>
  <c r="CM74" i="1"/>
  <c r="CI27" i="1"/>
  <c r="CM67" i="1"/>
  <c r="CM36" i="1"/>
  <c r="CM100" i="1"/>
  <c r="BK93" i="1"/>
  <c r="BO58" i="1"/>
  <c r="BO43" i="1"/>
  <c r="BK18" i="1"/>
  <c r="BK82" i="1"/>
  <c r="BO45" i="1"/>
  <c r="BS85" i="1"/>
  <c r="CI49" i="1"/>
  <c r="CE93" i="1"/>
  <c r="CM81" i="1"/>
  <c r="BK97" i="1"/>
  <c r="BK64" i="1"/>
  <c r="BK109" i="1"/>
  <c r="BO74" i="1"/>
  <c r="BO59" i="1"/>
  <c r="BO100" i="1"/>
  <c r="BO93" i="1"/>
  <c r="BK105" i="1"/>
  <c r="BK51" i="1"/>
  <c r="BS69" i="1"/>
  <c r="BS109" i="1"/>
  <c r="BK44" i="1"/>
  <c r="CI65" i="1"/>
  <c r="CE44" i="1"/>
  <c r="CM109" i="1"/>
  <c r="CE67" i="1"/>
  <c r="CM45" i="1"/>
  <c r="CI93" i="1"/>
  <c r="CM108" i="1"/>
  <c r="BS65" i="1"/>
  <c r="CE68" i="1"/>
  <c r="BS81" i="1"/>
  <c r="CE32" i="1"/>
  <c r="CE85" i="1"/>
  <c r="BK49" i="1"/>
  <c r="BK52" i="1"/>
  <c r="BK32" i="1"/>
  <c r="CE18" i="1"/>
  <c r="BO68" i="1"/>
  <c r="BK33" i="1"/>
  <c r="CE65" i="1"/>
  <c r="CE96" i="1"/>
  <c r="CE102" i="1"/>
  <c r="BK58" i="1"/>
  <c r="BS108" i="1"/>
  <c r="BK68" i="1"/>
  <c r="CI57" i="1"/>
  <c r="CM87" i="1"/>
  <c r="BS73" i="1"/>
  <c r="BS23" i="1"/>
  <c r="CA84" i="1"/>
  <c r="CB84" i="1" s="1" a="1"/>
  <c r="CB84" i="1" s="1"/>
  <c r="BG84" i="1"/>
  <c r="BH84" i="1" s="1" a="1"/>
  <c r="BH84" i="1" s="1"/>
  <c r="BG101" i="1"/>
  <c r="BH101" i="1" s="1" a="1"/>
  <c r="BH101" i="1" s="1"/>
  <c r="CA101" i="1"/>
  <c r="CB101" i="1" s="1" a="1"/>
  <c r="CB101" i="1" s="1"/>
  <c r="CA48" i="1"/>
  <c r="CB48" i="1" s="1" a="1"/>
  <c r="CB48" i="1" s="1"/>
  <c r="BS48" i="1"/>
  <c r="CA54" i="1"/>
  <c r="CB54" i="1" s="1" a="1"/>
  <c r="CB54" i="1" s="1"/>
  <c r="BG54" i="1"/>
  <c r="BH54" i="1" s="1" a="1"/>
  <c r="BH54" i="1" s="1"/>
  <c r="BK102" i="1"/>
  <c r="BG92" i="1"/>
  <c r="BH92" i="1" s="1" a="1"/>
  <c r="BH92" i="1" s="1"/>
  <c r="BG83" i="1"/>
  <c r="BH83" i="1" s="1" a="1"/>
  <c r="BH83" i="1" s="1"/>
  <c r="CA83" i="1"/>
  <c r="CB83" i="1" s="1" a="1"/>
  <c r="CB83" i="1" s="1"/>
  <c r="CE111" i="1"/>
  <c r="CI110" i="1"/>
  <c r="CE41" i="1"/>
  <c r="CE110" i="1"/>
  <c r="CM64" i="1"/>
  <c r="CA62" i="1"/>
  <c r="CB62" i="1" s="1" a="1"/>
  <c r="CB62" i="1" s="1"/>
  <c r="BG62" i="1"/>
  <c r="BH62" i="1" s="1" a="1"/>
  <c r="BH62" i="1" s="1"/>
  <c r="BS62" i="1"/>
  <c r="CM80" i="1"/>
  <c r="CA61" i="1"/>
  <c r="CB61" i="1" s="1" a="1"/>
  <c r="CB61" i="1" s="1"/>
  <c r="BG61" i="1"/>
  <c r="BH61" i="1" s="1" a="1"/>
  <c r="BH61" i="1" s="1"/>
  <c r="BK79" i="1"/>
  <c r="BG33" i="1"/>
  <c r="BH33" i="1" s="1" a="1"/>
  <c r="BH33" i="1" s="1"/>
  <c r="CA33" i="1"/>
  <c r="CB33" i="1" s="1" a="1"/>
  <c r="CB33" i="1" s="1"/>
  <c r="BO104" i="1"/>
  <c r="BG97" i="1"/>
  <c r="BH97" i="1" s="1" a="1"/>
  <c r="BH97" i="1" s="1"/>
  <c r="CA97" i="1"/>
  <c r="CB97" i="1" s="1" a="1"/>
  <c r="CB97" i="1" s="1"/>
  <c r="BS97" i="1"/>
  <c r="BG106" i="1"/>
  <c r="BH106" i="1" s="1" a="1"/>
  <c r="BH106" i="1" s="1"/>
  <c r="CA106" i="1"/>
  <c r="CB106" i="1" s="1" a="1"/>
  <c r="CB106" i="1" s="1"/>
  <c r="CA95" i="1"/>
  <c r="CB95" i="1" s="1" a="1"/>
  <c r="CB95" i="1" s="1"/>
  <c r="CI23" i="1"/>
  <c r="CE63" i="1"/>
  <c r="CI20" i="1"/>
  <c r="CM22" i="1"/>
  <c r="CI86" i="1"/>
  <c r="CI24" i="1"/>
  <c r="BK53" i="1"/>
  <c r="BK110" i="1"/>
  <c r="BK31" i="1"/>
  <c r="BO48" i="1"/>
  <c r="BS47" i="1"/>
  <c r="BS22" i="1"/>
  <c r="BK106" i="1"/>
  <c r="BS86" i="1"/>
  <c r="BS71" i="1"/>
  <c r="BS20" i="1"/>
  <c r="BO79" i="1"/>
  <c r="CA36" i="1"/>
  <c r="CB36" i="1" s="1" a="1"/>
  <c r="CB36" i="1" s="1"/>
  <c r="BG49" i="1"/>
  <c r="BH49" i="1" s="1" a="1"/>
  <c r="BH49" i="1" s="1"/>
  <c r="BG50" i="1"/>
  <c r="BH50" i="1" s="1" a="1"/>
  <c r="BH50" i="1" s="1"/>
  <c r="CA50" i="1"/>
  <c r="CB50" i="1" s="1" a="1"/>
  <c r="CB50" i="1" s="1"/>
  <c r="BS50" i="1"/>
  <c r="BG91" i="1"/>
  <c r="BH91" i="1" s="1" a="1"/>
  <c r="BH91" i="1" s="1"/>
  <c r="CA91" i="1"/>
  <c r="CB91" i="1" s="1" a="1"/>
  <c r="CB91" i="1" s="1"/>
  <c r="CI79" i="1"/>
  <c r="CE50" i="1"/>
  <c r="CE87" i="1"/>
  <c r="CE39" i="1"/>
  <c r="CE84" i="1"/>
  <c r="CI41" i="1"/>
  <c r="CM59" i="1"/>
  <c r="CE43" i="1"/>
  <c r="CE48" i="1"/>
  <c r="CM88" i="1"/>
  <c r="CA70" i="1"/>
  <c r="CB70" i="1" s="1" a="1"/>
  <c r="CB70" i="1" s="1"/>
  <c r="BG70" i="1"/>
  <c r="BH70" i="1" s="1" a="1"/>
  <c r="BH70" i="1" s="1"/>
  <c r="BK15" i="1"/>
  <c r="BG89" i="1"/>
  <c r="BH89" i="1" s="1" a="1"/>
  <c r="BH89" i="1" s="1"/>
  <c r="BS89" i="1"/>
  <c r="BG98" i="1"/>
  <c r="BH98" i="1" s="1" a="1"/>
  <c r="BH98" i="1" s="1"/>
  <c r="CA98" i="1"/>
  <c r="CB98" i="1" s="1" a="1"/>
  <c r="CB98" i="1" s="1"/>
  <c r="BO110" i="1"/>
  <c r="BO23" i="1"/>
  <c r="BS84" i="1"/>
  <c r="BO101" i="1"/>
  <c r="CA28" i="1"/>
  <c r="CB28" i="1" s="1" a="1"/>
  <c r="CB28" i="1" s="1"/>
  <c r="BG28" i="1"/>
  <c r="BH28" i="1" s="1" a="1"/>
  <c r="BH28" i="1" s="1"/>
  <c r="BG42" i="1"/>
  <c r="BH42" i="1" s="1" a="1"/>
  <c r="BH42" i="1" s="1"/>
  <c r="CA42" i="1"/>
  <c r="CB42" i="1" s="1" a="1"/>
  <c r="CB42" i="1" s="1"/>
  <c r="BG19" i="1"/>
  <c r="BH19" i="1" s="1" a="1"/>
  <c r="BH19" i="1" s="1"/>
  <c r="CA31" i="1"/>
  <c r="CB31" i="1" s="1" a="1"/>
  <c r="CB31" i="1" s="1"/>
  <c r="BG31" i="1"/>
  <c r="BH31" i="1" s="1" a="1"/>
  <c r="BH31" i="1" s="1"/>
  <c r="CM31" i="1"/>
  <c r="CE101" i="1"/>
  <c r="CM41" i="1"/>
  <c r="CM86" i="1"/>
  <c r="CI62" i="1"/>
  <c r="CM19" i="1"/>
  <c r="CA29" i="1"/>
  <c r="CB29" i="1" s="1" a="1"/>
  <c r="CB29" i="1" s="1"/>
  <c r="BG29" i="1"/>
  <c r="BH29" i="1" s="1" a="1"/>
  <c r="BH29" i="1" s="1"/>
  <c r="CI29" i="1"/>
  <c r="CE94" i="1"/>
  <c r="BO25" i="1"/>
  <c r="BO89" i="1"/>
  <c r="BK46" i="1"/>
  <c r="BO67" i="1"/>
  <c r="BK95" i="1"/>
  <c r="BS79" i="1"/>
  <c r="BO31" i="1"/>
  <c r="BS55" i="1"/>
  <c r="BK59" i="1"/>
  <c r="BS103" i="1"/>
  <c r="BG105" i="1"/>
  <c r="BH105" i="1" s="1" a="1"/>
  <c r="BH105" i="1" s="1"/>
  <c r="BG100" i="1"/>
  <c r="BH100" i="1" s="1" a="1"/>
  <c r="BH100" i="1" s="1"/>
  <c r="BS104" i="1"/>
  <c r="BG27" i="1"/>
  <c r="BH27" i="1" s="1" a="1"/>
  <c r="BH27" i="1" s="1"/>
  <c r="CA27" i="1"/>
  <c r="CB27" i="1" s="1" a="1"/>
  <c r="CB27" i="1" s="1"/>
  <c r="CA39" i="1"/>
  <c r="CB39" i="1" s="1" a="1"/>
  <c r="CB39" i="1" s="1"/>
  <c r="CM39" i="1"/>
  <c r="BG103" i="1"/>
  <c r="BH103" i="1" s="1" a="1"/>
  <c r="BH103" i="1" s="1"/>
  <c r="CM103" i="1"/>
  <c r="CI111" i="1"/>
  <c r="CM17" i="1"/>
  <c r="CI105" i="1"/>
  <c r="CE20" i="1"/>
  <c r="CM83" i="1"/>
  <c r="CI38" i="1"/>
  <c r="CE17" i="1"/>
  <c r="CA37" i="1"/>
  <c r="CB37" i="1" s="1" a="1"/>
  <c r="CB37" i="1" s="1"/>
  <c r="BG37" i="1"/>
  <c r="BH37" i="1" s="1" a="1"/>
  <c r="BH37" i="1" s="1"/>
  <c r="CE107" i="1"/>
  <c r="CM21" i="1"/>
  <c r="BS107" i="1"/>
  <c r="CI69" i="1"/>
  <c r="CM26" i="1"/>
  <c r="CE22" i="1"/>
  <c r="BS49" i="1"/>
  <c r="CI98" i="1"/>
  <c r="BS39" i="1"/>
  <c r="CA20" i="1"/>
  <c r="CB20" i="1" s="1" a="1"/>
  <c r="CB20" i="1" s="1"/>
  <c r="CA34" i="1"/>
  <c r="CB34" i="1" s="1" a="1"/>
  <c r="CB34" i="1" s="1"/>
  <c r="CA23" i="1"/>
  <c r="CB23" i="1" s="1" a="1"/>
  <c r="CB23" i="1" s="1"/>
  <c r="BG23" i="1"/>
  <c r="BH23" i="1" s="1" a="1"/>
  <c r="BH23" i="1" s="1"/>
  <c r="CM23" i="1"/>
  <c r="CI87" i="1"/>
  <c r="CE89" i="1"/>
  <c r="CA21" i="1"/>
  <c r="CB21" i="1" s="1" a="1"/>
  <c r="CB21" i="1" s="1"/>
  <c r="BK38" i="1"/>
  <c r="BO39" i="1"/>
  <c r="BO41" i="1"/>
  <c r="BO34" i="1"/>
  <c r="BO98" i="1"/>
  <c r="BK47" i="1"/>
  <c r="BK111" i="1"/>
  <c r="BK16" i="1"/>
  <c r="BO64" i="1"/>
  <c r="BS110" i="1"/>
  <c r="BS98" i="1"/>
  <c r="BO21" i="1"/>
  <c r="BO46" i="1"/>
  <c r="BO63" i="1"/>
  <c r="BO37" i="1"/>
  <c r="BK75" i="1"/>
  <c r="BO111" i="1"/>
  <c r="BS28" i="1"/>
  <c r="BS40" i="1"/>
  <c r="CA52" i="1"/>
  <c r="CB52" i="1" s="1" a="1"/>
  <c r="CB52" i="1" s="1"/>
  <c r="BG52" i="1"/>
  <c r="BH52" i="1" s="1" a="1"/>
  <c r="BH52" i="1" s="1"/>
  <c r="CA65" i="1"/>
  <c r="CB65" i="1" s="1" a="1"/>
  <c r="CB65" i="1" s="1"/>
  <c r="BG66" i="1"/>
  <c r="BH66" i="1" s="1" a="1"/>
  <c r="BH66" i="1" s="1"/>
  <c r="CA66" i="1"/>
  <c r="CB66" i="1" s="1" a="1"/>
  <c r="CB66" i="1" s="1"/>
  <c r="CI66" i="1"/>
  <c r="BG43" i="1"/>
  <c r="BH43" i="1" s="1" a="1"/>
  <c r="BH43" i="1" s="1"/>
  <c r="CA43" i="1"/>
  <c r="CB43" i="1" s="1" a="1"/>
  <c r="CB43" i="1" s="1"/>
  <c r="BG107" i="1"/>
  <c r="BH107" i="1" s="1" a="1"/>
  <c r="BH107" i="1" s="1"/>
  <c r="CA107" i="1"/>
  <c r="CB107" i="1" s="1" a="1"/>
  <c r="CB107" i="1" s="1"/>
  <c r="BG55" i="1"/>
  <c r="BH55" i="1" s="1" a="1"/>
  <c r="BH55" i="1" s="1"/>
  <c r="CI50" i="1"/>
  <c r="CI103" i="1"/>
  <c r="CI71" i="1"/>
  <c r="CE42" i="1"/>
  <c r="CM33" i="1"/>
  <c r="CE100" i="1"/>
  <c r="CM78" i="1"/>
  <c r="BS101" i="1"/>
  <c r="BO15" i="1"/>
  <c r="CA41" i="1"/>
  <c r="CB41" i="1" s="1" a="1"/>
  <c r="CB41" i="1" s="1"/>
  <c r="BS41" i="1"/>
  <c r="CM65" i="1"/>
  <c r="BS56" i="1"/>
  <c r="CM71" i="1"/>
  <c r="CM95" i="1"/>
  <c r="BG75" i="1"/>
  <c r="BH75" i="1" s="1" a="1"/>
  <c r="BH75" i="1" s="1"/>
  <c r="CA75" i="1"/>
  <c r="CB75" i="1" s="1" a="1"/>
  <c r="CB75" i="1" s="1"/>
  <c r="CA87" i="1"/>
  <c r="CB87" i="1" s="1" a="1"/>
  <c r="CB87" i="1" s="1"/>
  <c r="BG87" i="1"/>
  <c r="BH87" i="1" s="1" a="1"/>
  <c r="BH87" i="1" s="1"/>
  <c r="CI75" i="1"/>
  <c r="BK22" i="1"/>
  <c r="BK71" i="1"/>
  <c r="BO24" i="1"/>
  <c r="BO88" i="1"/>
  <c r="BO38" i="1"/>
  <c r="BS54" i="1"/>
  <c r="BK89" i="1"/>
  <c r="BK35" i="1"/>
  <c r="BK99" i="1"/>
  <c r="BO102" i="1"/>
  <c r="BO92" i="1"/>
  <c r="BG25" i="1"/>
  <c r="BH25" i="1" s="1" a="1"/>
  <c r="BH25" i="1" s="1"/>
  <c r="BS25" i="1"/>
  <c r="BG76" i="1"/>
  <c r="BH76" i="1" s="1" a="1"/>
  <c r="BH76" i="1" s="1"/>
  <c r="BG17" i="1"/>
  <c r="BH17" i="1" s="1" a="1"/>
  <c r="BH17" i="1" s="1"/>
  <c r="CA17" i="1"/>
  <c r="CB17" i="1" s="1" a="1"/>
  <c r="CB17" i="1" s="1"/>
  <c r="BS17" i="1"/>
  <c r="BS96" i="1"/>
  <c r="CA26" i="1"/>
  <c r="CB26" i="1" s="1" a="1"/>
  <c r="CB26" i="1" s="1"/>
  <c r="CA90" i="1"/>
  <c r="CB90" i="1" s="1" a="1"/>
  <c r="CB90" i="1" s="1"/>
  <c r="BG67" i="1"/>
  <c r="BH67" i="1" s="1" a="1"/>
  <c r="BH67" i="1" s="1"/>
  <c r="CA67" i="1"/>
  <c r="CB67" i="1" s="1" a="1"/>
  <c r="CB67" i="1" s="1"/>
  <c r="CA109" i="1"/>
  <c r="CB109" i="1" s="1" a="1"/>
  <c r="CB109" i="1" s="1"/>
  <c r="BG109" i="1"/>
  <c r="BH109" i="1" s="1" a="1"/>
  <c r="BH109" i="1" s="1"/>
  <c r="BG15" i="1"/>
  <c r="BH15" i="1" s="1" a="1"/>
  <c r="BH15" i="1" s="1"/>
  <c r="CM15" i="1"/>
  <c r="CA79" i="1"/>
  <c r="CB79" i="1" s="1" a="1"/>
  <c r="CB79" i="1" s="1"/>
  <c r="BG79" i="1"/>
  <c r="BH79" i="1" s="1" a="1"/>
  <c r="BH79" i="1" s="1"/>
  <c r="CM79" i="1"/>
  <c r="CE71" i="1"/>
  <c r="CE47" i="1"/>
  <c r="CM25" i="1"/>
  <c r="CE92" i="1"/>
  <c r="CM70" i="1"/>
  <c r="CI70" i="1"/>
  <c r="CE25" i="1"/>
  <c r="CA93" i="1"/>
  <c r="CB93" i="1" s="1" a="1"/>
  <c r="CB93" i="1" s="1"/>
  <c r="BG93" i="1"/>
  <c r="BH93" i="1" s="1" a="1"/>
  <c r="BH93" i="1" s="1"/>
  <c r="CM93" i="1"/>
  <c r="CE51" i="1"/>
  <c r="CM29" i="1"/>
  <c r="CM98" i="1"/>
  <c r="CI77" i="1"/>
  <c r="CE56" i="1"/>
  <c r="CM34" i="1"/>
  <c r="CA104" i="1"/>
  <c r="CB104" i="1" s="1" a="1"/>
  <c r="CB104" i="1" s="1"/>
  <c r="BK104" i="1"/>
  <c r="CA46" i="1"/>
  <c r="CB46" i="1" s="1" a="1"/>
  <c r="CB46" i="1" s="1"/>
  <c r="BG46" i="1"/>
  <c r="BH46" i="1" s="1" a="1"/>
  <c r="BH46" i="1" s="1"/>
  <c r="CE78" i="1"/>
  <c r="CM32" i="1"/>
  <c r="CI107" i="1"/>
  <c r="CM48" i="1"/>
  <c r="BS59" i="1"/>
  <c r="CI26" i="1"/>
  <c r="CM72" i="1"/>
  <c r="CI19" i="1"/>
  <c r="CI43" i="1"/>
  <c r="BS19" i="1"/>
  <c r="CM52" i="1"/>
  <c r="BG69" i="1"/>
  <c r="BH69" i="1" s="1" a="1"/>
  <c r="BH69" i="1" s="1"/>
  <c r="BK92" i="1"/>
  <c r="BO33" i="1"/>
  <c r="BO97" i="1"/>
  <c r="BK61" i="1"/>
  <c r="BO84" i="1"/>
  <c r="BO75" i="1"/>
  <c r="BK39" i="1"/>
  <c r="BK103" i="1"/>
  <c r="BS95" i="1"/>
  <c r="BO47" i="1"/>
  <c r="BS90" i="1"/>
  <c r="BK57" i="1"/>
  <c r="BS21" i="1"/>
  <c r="BO22" i="1"/>
  <c r="BO55" i="1"/>
  <c r="BS100" i="1"/>
  <c r="BK67" i="1"/>
  <c r="BS102" i="1"/>
  <c r="BS30" i="1"/>
  <c r="BK48" i="1"/>
  <c r="CA44" i="1"/>
  <c r="CB44" i="1" s="1" a="1"/>
  <c r="CB44" i="1" s="1"/>
  <c r="BG44" i="1"/>
  <c r="BH44" i="1" s="1" a="1"/>
  <c r="BH44" i="1" s="1"/>
  <c r="CA57" i="1"/>
  <c r="CB57" i="1" s="1" a="1"/>
  <c r="CB57" i="1" s="1"/>
  <c r="BG58" i="1"/>
  <c r="BH58" i="1" s="1" a="1"/>
  <c r="BH58" i="1" s="1"/>
  <c r="CA58" i="1"/>
  <c r="CB58" i="1" s="1" a="1"/>
  <c r="CB58" i="1" s="1"/>
  <c r="BG35" i="1"/>
  <c r="BH35" i="1" s="1" a="1"/>
  <c r="BH35" i="1" s="1"/>
  <c r="CA35" i="1"/>
  <c r="CB35" i="1" s="1" a="1"/>
  <c r="CB35" i="1" s="1"/>
  <c r="BG47" i="1"/>
  <c r="BH47" i="1" s="1" a="1"/>
  <c r="BH47" i="1" s="1"/>
  <c r="CA111" i="1"/>
  <c r="CB111" i="1" s="1" a="1"/>
  <c r="CB111" i="1" s="1"/>
  <c r="BG111" i="1"/>
  <c r="BH111" i="1" s="1" a="1"/>
  <c r="BH111" i="1" s="1"/>
  <c r="CE61" i="1"/>
  <c r="CE106" i="1"/>
  <c r="CI47" i="1"/>
  <c r="CM105" i="1"/>
  <c r="CI84" i="1"/>
  <c r="CM57" i="1"/>
  <c r="CI36" i="1"/>
  <c r="CE15" i="1"/>
  <c r="CM38" i="1"/>
  <c r="CI17" i="1"/>
  <c r="CI102" i="1"/>
  <c r="CE81" i="1"/>
  <c r="CE57" i="1"/>
  <c r="BG45" i="1"/>
  <c r="BH45" i="1" s="1" a="1"/>
  <c r="BH45" i="1" s="1"/>
  <c r="CI104" i="1"/>
  <c r="CE83" i="1"/>
  <c r="CM61" i="1"/>
  <c r="CI40" i="1"/>
  <c r="CI109" i="1"/>
  <c r="CM66" i="1"/>
  <c r="CI45" i="1"/>
  <c r="CE24" i="1"/>
  <c r="BG72" i="1"/>
  <c r="BH72" i="1" s="1" a="1"/>
  <c r="BH72" i="1" s="1"/>
  <c r="CA72" i="1"/>
  <c r="CB72" i="1" s="1" a="1"/>
  <c r="CB72" i="1" s="1"/>
  <c r="BG78" i="1"/>
  <c r="BH78" i="1" s="1" a="1"/>
  <c r="BH78" i="1" s="1"/>
  <c r="CE38" i="1"/>
  <c r="CI51" i="1"/>
  <c r="CI91" i="1"/>
  <c r="BS27" i="1"/>
  <c r="BS60" i="1"/>
  <c r="BS72" i="1"/>
  <c r="CM101" i="1"/>
  <c r="CM37" i="1"/>
  <c r="CM106" i="1"/>
  <c r="CI21" i="1"/>
  <c r="CE70" i="1"/>
  <c r="CM40" i="1"/>
  <c r="BS35" i="1"/>
  <c r="BS99" i="1"/>
  <c r="CM68" i="1"/>
  <c r="CI58" i="1"/>
  <c r="CE36" i="1"/>
  <c r="CM99" i="1"/>
  <c r="CI54" i="1"/>
  <c r="CA53" i="1"/>
  <c r="CB53" i="1" s="1" a="1"/>
  <c r="CB53" i="1" s="1"/>
  <c r="BG53" i="1"/>
  <c r="BH53" i="1" s="1" a="1"/>
  <c r="BH53" i="1" s="1"/>
  <c r="CA80" i="1"/>
  <c r="CB80" i="1" s="1" a="1"/>
  <c r="CB80" i="1" s="1"/>
  <c r="CA86" i="1"/>
  <c r="CB86" i="1" s="1" a="1"/>
  <c r="CB86" i="1" s="1"/>
  <c r="BG86" i="1"/>
  <c r="BH86" i="1" s="1" a="1"/>
  <c r="BH86" i="1" s="1"/>
  <c r="CE30" i="1"/>
  <c r="BO28" i="1"/>
  <c r="BO42" i="1"/>
  <c r="BO106" i="1"/>
  <c r="BK70" i="1"/>
  <c r="BO27" i="1"/>
  <c r="BO91" i="1"/>
  <c r="BO72" i="1"/>
  <c r="BS29" i="1"/>
  <c r="BS26" i="1"/>
  <c r="BS106" i="1"/>
  <c r="BK73" i="1"/>
  <c r="BK66" i="1"/>
  <c r="BO85" i="1"/>
  <c r="BS16" i="1"/>
  <c r="BK19" i="1"/>
  <c r="BK83" i="1"/>
  <c r="BO54" i="1"/>
  <c r="BK28" i="1"/>
  <c r="BK76" i="1"/>
  <c r="CA60" i="1"/>
  <c r="CB60" i="1" s="1" a="1"/>
  <c r="CB60" i="1" s="1"/>
  <c r="CA73" i="1"/>
  <c r="CB73" i="1" s="1" a="1"/>
  <c r="CB73" i="1" s="1"/>
  <c r="BG74" i="1"/>
  <c r="BH74" i="1" s="1" a="1"/>
  <c r="BH74" i="1" s="1"/>
  <c r="CA74" i="1"/>
  <c r="CB74" i="1" s="1" a="1"/>
  <c r="CB74" i="1" s="1"/>
  <c r="BG51" i="1"/>
  <c r="BH51" i="1" s="1" a="1"/>
  <c r="BH51" i="1" s="1"/>
  <c r="CA51" i="1"/>
  <c r="CB51" i="1" s="1" a="1"/>
  <c r="CB51" i="1" s="1"/>
  <c r="CA63" i="1"/>
  <c r="CB63" i="1" s="1" a="1"/>
  <c r="CB63" i="1" s="1"/>
  <c r="CI34" i="1"/>
  <c r="CE66" i="1"/>
  <c r="CI39" i="1"/>
  <c r="CI100" i="1"/>
  <c r="CI76" i="1"/>
  <c r="CI52" i="1"/>
  <c r="CE76" i="1"/>
  <c r="CM54" i="1"/>
  <c r="CI33" i="1"/>
  <c r="CE97" i="1"/>
  <c r="CM75" i="1"/>
  <c r="CM51" i="1"/>
  <c r="CE99" i="1"/>
  <c r="CM77" i="1"/>
  <c r="CI56" i="1"/>
  <c r="CE35" i="1"/>
  <c r="CE40" i="1"/>
  <c r="CM18" i="1"/>
  <c r="BG24" i="1"/>
  <c r="BH24" i="1" s="1" a="1"/>
  <c r="BH24" i="1" s="1"/>
  <c r="CA24" i="1"/>
  <c r="CB24" i="1" s="1" a="1"/>
  <c r="CB24" i="1" s="1"/>
  <c r="BG88" i="1"/>
  <c r="BH88" i="1" s="1" a="1"/>
  <c r="BH88" i="1" s="1"/>
  <c r="CM24" i="1"/>
  <c r="CA30" i="1"/>
  <c r="CB30" i="1" s="1" a="1"/>
  <c r="CB30" i="1" s="1"/>
  <c r="BG30" i="1"/>
  <c r="BH30" i="1" s="1" a="1"/>
  <c r="BH30" i="1" s="1"/>
  <c r="CA94" i="1"/>
  <c r="CB94" i="1" s="1" a="1"/>
  <c r="CB94" i="1" s="1"/>
  <c r="BG94" i="1"/>
  <c r="BH94" i="1" s="1" a="1"/>
  <c r="BH94" i="1" s="1"/>
  <c r="CM96" i="1"/>
  <c r="CI83" i="1"/>
  <c r="CE53" i="1"/>
  <c r="CI78" i="1"/>
  <c r="CE33" i="1"/>
  <c r="CI80" i="1"/>
  <c r="CI85" i="1"/>
  <c r="BG16" i="1"/>
  <c r="BH16" i="1" s="1" a="1"/>
  <c r="BH16" i="1" s="1"/>
  <c r="CA16" i="1"/>
  <c r="CB16" i="1" s="1" a="1"/>
  <c r="CB16" i="1" s="1"/>
  <c r="CE46" i="1"/>
  <c r="CM16" i="1"/>
  <c r="BO44" i="1"/>
  <c r="BK21" i="1"/>
  <c r="BO50" i="1"/>
  <c r="BK78" i="1"/>
  <c r="BO35" i="1"/>
  <c r="BO99" i="1"/>
  <c r="BK63" i="1"/>
  <c r="BO80" i="1"/>
  <c r="BO29" i="1"/>
  <c r="BS38" i="1"/>
  <c r="BS42" i="1"/>
  <c r="BK17" i="1"/>
  <c r="BK81" i="1"/>
  <c r="BO94" i="1"/>
  <c r="BK74" i="1"/>
  <c r="BS87" i="1"/>
  <c r="BS32" i="1"/>
  <c r="BK27" i="1"/>
  <c r="BK91" i="1"/>
  <c r="BS36" i="1"/>
  <c r="BK84" i="1"/>
  <c r="BS24" i="1"/>
  <c r="CA68" i="1"/>
  <c r="CB68" i="1" s="1" a="1"/>
  <c r="CB68" i="1" s="1"/>
  <c r="BG68" i="1"/>
  <c r="BH68" i="1" s="1" a="1"/>
  <c r="BH68" i="1" s="1"/>
  <c r="BG81" i="1"/>
  <c r="BH81" i="1" s="1" a="1"/>
  <c r="BH81" i="1" s="1"/>
  <c r="BG18" i="1"/>
  <c r="BH18" i="1" s="1" a="1"/>
  <c r="BH18" i="1" s="1"/>
  <c r="CA18" i="1"/>
  <c r="CB18" i="1" s="1" a="1"/>
  <c r="CB18" i="1" s="1"/>
  <c r="BG82" i="1"/>
  <c r="BH82" i="1" s="1" a="1"/>
  <c r="BH82" i="1" s="1"/>
  <c r="CA82" i="1"/>
  <c r="CB82" i="1" s="1" a="1"/>
  <c r="CB82" i="1" s="1"/>
  <c r="BG59" i="1"/>
  <c r="BH59" i="1" s="1" a="1"/>
  <c r="BH59" i="1" s="1"/>
  <c r="CA71" i="1"/>
  <c r="CB71" i="1" s="1" a="1"/>
  <c r="CB71" i="1" s="1"/>
  <c r="CI18" i="1"/>
  <c r="CI95" i="1"/>
  <c r="CI63" i="1"/>
  <c r="CE34" i="1"/>
  <c r="CM97" i="1"/>
  <c r="CM49" i="1"/>
  <c r="CI28" i="1"/>
  <c r="CM94" i="1"/>
  <c r="CI73" i="1"/>
  <c r="CE52" i="1"/>
  <c r="CM30" i="1"/>
  <c r="CI94" i="1"/>
  <c r="CE73" i="1"/>
  <c r="CE49" i="1"/>
  <c r="CM27" i="1"/>
  <c r="CA85" i="1"/>
  <c r="CB85" i="1" s="1" a="1"/>
  <c r="CB85" i="1" s="1"/>
  <c r="BG85" i="1"/>
  <c r="BH85" i="1" s="1" a="1"/>
  <c r="BH85" i="1" s="1"/>
  <c r="CI96" i="1"/>
  <c r="CE75" i="1"/>
  <c r="CM53" i="1"/>
  <c r="CI32" i="1"/>
  <c r="CI101" i="1"/>
  <c r="CE80" i="1"/>
  <c r="CM58" i="1"/>
  <c r="CI37" i="1"/>
  <c r="CE16" i="1"/>
  <c r="BG32" i="1"/>
  <c r="BH32" i="1" s="1" a="1"/>
  <c r="BH32" i="1" s="1"/>
  <c r="CA32" i="1"/>
  <c r="CB32" i="1" s="1" a="1"/>
  <c r="CB32" i="1" s="1"/>
  <c r="CA38" i="1"/>
  <c r="CB38" i="1" s="1" a="1"/>
  <c r="CB38" i="1" s="1"/>
  <c r="BG38" i="1"/>
  <c r="BH38" i="1" s="1" a="1"/>
  <c r="BH38" i="1" s="1"/>
  <c r="CA102" i="1"/>
  <c r="CB102" i="1" s="1" a="1"/>
  <c r="CB102" i="1" s="1"/>
  <c r="BG102" i="1"/>
  <c r="BH102" i="1" s="1" a="1"/>
  <c r="BH102" i="1" s="1"/>
  <c r="CI99" i="1"/>
  <c r="CE54" i="1"/>
  <c r="BS51" i="1"/>
  <c r="CM84" i="1"/>
  <c r="CI74" i="1"/>
  <c r="CE77" i="1"/>
  <c r="BK88" i="1"/>
  <c r="BS83" i="1"/>
  <c r="BS57" i="1"/>
  <c r="BO95" i="1"/>
  <c r="CA45" i="1"/>
  <c r="CB45" i="1" s="1" a="1"/>
  <c r="CB45" i="1" s="1"/>
  <c r="CE86" i="1"/>
  <c r="CI16" i="1"/>
  <c r="CI88" i="1"/>
  <c r="CE29" i="1"/>
  <c r="CE45" i="1"/>
  <c r="CE62" i="1"/>
  <c r="CI46" i="1"/>
  <c r="CA77" i="1"/>
  <c r="CB77" i="1" s="1" a="1"/>
  <c r="CB77" i="1" s="1"/>
  <c r="CM85" i="1"/>
  <c r="CI72" i="1"/>
  <c r="CA110" i="1"/>
  <c r="CB110" i="1" s="1" a="1"/>
  <c r="CB110" i="1" s="1"/>
  <c r="CI61" i="1"/>
  <c r="CE21" i="1"/>
  <c r="CE37" i="1"/>
  <c r="CI53" i="1"/>
  <c r="CA69" i="1"/>
  <c r="CB69" i="1" s="1" a="1"/>
  <c r="CB69" i="1" s="1"/>
  <c r="CI22" i="1"/>
  <c r="CE69" i="1"/>
  <c r="CM43" i="1"/>
  <c r="CI60" i="1"/>
  <c r="CM60" i="1"/>
  <c r="CE60" i="1"/>
  <c r="CM73" i="1"/>
  <c r="CE74" i="1"/>
  <c r="CM63" i="1"/>
  <c r="CM56" i="1"/>
  <c r="CM104" i="1"/>
  <c r="BS18" i="1"/>
  <c r="CE59" i="1"/>
  <c r="CA59" i="1"/>
  <c r="CB59" i="1" s="1" a="1"/>
  <c r="CB59" i="1" s="1"/>
  <c r="CI59" i="1"/>
  <c r="CI30" i="1"/>
  <c r="CA64" i="1"/>
  <c r="CB64" i="1" s="1" a="1"/>
  <c r="CB64" i="1" s="1"/>
  <c r="CA96" i="1"/>
  <c r="CB96" i="1" s="1" a="1"/>
  <c r="CB96" i="1" s="1"/>
  <c r="BG64" i="1"/>
  <c r="BH64" i="1" s="1" a="1"/>
  <c r="BH64" i="1" s="1"/>
  <c r="CI25" i="1"/>
  <c r="CA25" i="1"/>
  <c r="CB25" i="1" s="1" a="1"/>
  <c r="CB25" i="1" s="1"/>
  <c r="CA76" i="1"/>
  <c r="CB76" i="1" s="1" a="1"/>
  <c r="CB76" i="1" s="1"/>
  <c r="CM76" i="1"/>
  <c r="CI90" i="1"/>
  <c r="CE90" i="1"/>
  <c r="CM90" i="1"/>
  <c r="CI67" i="1"/>
  <c r="CE109" i="1"/>
  <c r="CA15" i="1"/>
  <c r="CB15" i="1" s="1" a="1"/>
  <c r="CB15" i="1" s="1"/>
  <c r="CI15" i="1"/>
  <c r="CE79" i="1"/>
  <c r="CM102" i="1"/>
  <c r="CE64" i="1"/>
  <c r="CI68" i="1"/>
  <c r="CI82" i="1"/>
  <c r="CE82" i="1"/>
  <c r="CM82" i="1"/>
  <c r="BG39" i="1"/>
  <c r="BH39" i="1" s="1" a="1"/>
  <c r="BH39" i="1" s="1"/>
  <c r="CM89" i="1"/>
  <c r="CI89" i="1"/>
  <c r="CA89" i="1"/>
  <c r="CB89" i="1" s="1" a="1"/>
  <c r="CB89" i="1" s="1"/>
  <c r="CE23" i="1"/>
  <c r="CI64" i="1"/>
  <c r="CA49" i="1"/>
  <c r="CB49" i="1" s="1" a="1"/>
  <c r="CB49" i="1" s="1"/>
  <c r="CA81" i="1"/>
  <c r="CB81" i="1" s="1" a="1"/>
  <c r="CB81" i="1" s="1"/>
  <c r="CI81" i="1"/>
  <c r="CM20" i="1"/>
  <c r="CE98" i="1"/>
  <c r="CI97" i="1"/>
  <c r="CM28" i="1"/>
  <c r="CE28" i="1"/>
  <c r="CM92" i="1"/>
  <c r="CA92" i="1"/>
  <c r="CB92" i="1" s="1" a="1"/>
  <c r="CB92" i="1" s="1"/>
  <c r="CI42" i="1"/>
  <c r="CM42" i="1"/>
  <c r="CI106" i="1"/>
  <c r="CE19" i="1"/>
  <c r="CA19" i="1"/>
  <c r="CB19" i="1" s="1" a="1"/>
  <c r="CB19" i="1" s="1"/>
  <c r="CE31" i="1"/>
  <c r="CI31" i="1"/>
  <c r="CE95" i="1"/>
  <c r="CA22" i="1"/>
  <c r="CB22" i="1" s="1" a="1"/>
  <c r="CB22" i="1" s="1"/>
  <c r="CE105" i="1"/>
  <c r="CA105" i="1"/>
  <c r="CB105" i="1" s="1" a="1"/>
  <c r="CB105" i="1" s="1"/>
  <c r="CM50" i="1"/>
  <c r="CE91" i="1"/>
  <c r="CM91" i="1"/>
  <c r="CE103" i="1"/>
  <c r="CA103" i="1"/>
  <c r="CB103" i="1" s="1" a="1"/>
  <c r="CB103" i="1" s="1"/>
  <c r="CM62" i="1"/>
  <c r="CA78" i="1"/>
  <c r="CB78" i="1" s="1" a="1"/>
  <c r="CB78" i="1" s="1"/>
  <c r="CA40" i="1"/>
  <c r="CB40" i="1" s="1" a="1"/>
  <c r="CB40" i="1" s="1"/>
  <c r="CE72" i="1"/>
  <c r="CA88" i="1"/>
  <c r="CB88" i="1" s="1" a="1"/>
  <c r="CB88" i="1" s="1"/>
  <c r="CM44" i="1"/>
  <c r="CI108" i="1"/>
  <c r="CE108" i="1"/>
  <c r="CA108" i="1"/>
  <c r="CB108" i="1" s="1" a="1"/>
  <c r="CB108" i="1" s="1"/>
  <c r="CE58" i="1"/>
  <c r="CM35" i="1"/>
  <c r="CI35" i="1"/>
  <c r="CA99" i="1"/>
  <c r="CB99" i="1" s="1" a="1"/>
  <c r="CB99" i="1" s="1"/>
  <c r="CM47" i="1"/>
  <c r="CA47" i="1"/>
  <c r="CB47" i="1" s="1" a="1"/>
  <c r="CB47" i="1" s="1"/>
  <c r="CM111" i="1"/>
  <c r="CA56" i="1"/>
  <c r="CB56" i="1" s="1" a="1"/>
  <c r="CB56" i="1" s="1"/>
  <c r="CE88" i="1"/>
  <c r="CE104" i="1"/>
  <c r="CA100" i="1"/>
  <c r="CB100" i="1" s="1" a="1"/>
  <c r="CB100" i="1" s="1"/>
  <c r="CM107" i="1"/>
  <c r="CE55" i="1"/>
  <c r="CM55" i="1"/>
  <c r="CA55" i="1"/>
  <c r="CB55" i="1" s="1" a="1"/>
  <c r="CB55" i="1" s="1"/>
  <c r="CI55" i="1"/>
  <c r="AZ14" i="1"/>
  <c r="BS66" i="1"/>
  <c r="BK90" i="1"/>
  <c r="BS52" i="1"/>
  <c r="BS82" i="1"/>
  <c r="BS105" i="1"/>
  <c r="BO77" i="1"/>
  <c r="BS15" i="1"/>
  <c r="BS74" i="1"/>
  <c r="BS75" i="1"/>
  <c r="BO49" i="1"/>
  <c r="BS67" i="1"/>
  <c r="BS33" i="1"/>
  <c r="BO86" i="1"/>
  <c r="BO30" i="1"/>
  <c r="BS43" i="1"/>
  <c r="BK80" i="1"/>
  <c r="BO96" i="1"/>
  <c r="BK96" i="1"/>
  <c r="BS88" i="1"/>
  <c r="BS80" i="1"/>
  <c r="BG56" i="1"/>
  <c r="BH56" i="1" s="1" a="1"/>
  <c r="BH56" i="1" s="1"/>
  <c r="BG48" i="1"/>
  <c r="BH48" i="1" s="1" a="1"/>
  <c r="BH48" i="1" s="1"/>
  <c r="BK40" i="1"/>
  <c r="BS78" i="1"/>
  <c r="BS63" i="1"/>
  <c r="BO62" i="1"/>
  <c r="BO70" i="1"/>
  <c r="BS70" i="1"/>
  <c r="BS46" i="1"/>
  <c r="BK24" i="1"/>
  <c r="BO26" i="1"/>
  <c r="BO90" i="1"/>
  <c r="BS31" i="1"/>
  <c r="BS91" i="1"/>
  <c r="BS76" i="1"/>
  <c r="BS64" i="1"/>
  <c r="BS45" i="1"/>
  <c r="BS53" i="1"/>
  <c r="BS58" i="1"/>
  <c r="BK77" i="1"/>
  <c r="BS111" i="1"/>
  <c r="BS92" i="1"/>
  <c r="BS68" i="1"/>
  <c r="BK55" i="1"/>
  <c r="BS61" i="1"/>
  <c r="BK41" i="1"/>
  <c r="BK25" i="1"/>
  <c r="BS94" i="1"/>
  <c r="BS37" i="1"/>
  <c r="BS77" i="1"/>
  <c r="BK54" i="1"/>
  <c r="BK20" i="1"/>
  <c r="BK108" i="1"/>
  <c r="BO105" i="1"/>
  <c r="BK69" i="1"/>
  <c r="BK62" i="1"/>
  <c r="BO19" i="1"/>
  <c r="BO83" i="1"/>
  <c r="BO16" i="1"/>
  <c r="BO57" i="1"/>
  <c r="BK85" i="1"/>
  <c r="BO36" i="1"/>
  <c r="BO32" i="1"/>
  <c r="BK34" i="1"/>
  <c r="BK98" i="1"/>
  <c r="BK72" i="1"/>
  <c r="BO108" i="1"/>
  <c r="BO87" i="1"/>
  <c r="BG21" i="1"/>
  <c r="BH21" i="1" s="1" a="1"/>
  <c r="BH21" i="1" s="1"/>
  <c r="BO60" i="1"/>
  <c r="BO65" i="1"/>
  <c r="BK29" i="1"/>
  <c r="BK86" i="1"/>
  <c r="BO107" i="1"/>
  <c r="BO52" i="1"/>
  <c r="BO40" i="1"/>
  <c r="BK42" i="1"/>
  <c r="BK56" i="1"/>
  <c r="BO20" i="1"/>
  <c r="BK36" i="1"/>
  <c r="BG26" i="1"/>
  <c r="BH26" i="1" s="1" a="1"/>
  <c r="BH26" i="1" s="1"/>
  <c r="BO76" i="1"/>
  <c r="BO73" i="1"/>
  <c r="BK94" i="1"/>
  <c r="BO51" i="1"/>
  <c r="BK60" i="1"/>
  <c r="BO17" i="1"/>
  <c r="BO81" i="1"/>
  <c r="BK45" i="1"/>
  <c r="BK23" i="1"/>
  <c r="BK87" i="1"/>
  <c r="BO56" i="1"/>
  <c r="BO18" i="1"/>
  <c r="BO82" i="1"/>
  <c r="BK43" i="1"/>
  <c r="BO103" i="1"/>
  <c r="BG104" i="1"/>
  <c r="BH104" i="1" s="1" a="1"/>
  <c r="BH104" i="1" s="1"/>
  <c r="BG65" i="1"/>
  <c r="BH65" i="1" s="1" a="1"/>
  <c r="BH65" i="1" s="1"/>
  <c r="BG57" i="1"/>
  <c r="BH57" i="1" s="1" a="1"/>
  <c r="BH57" i="1" s="1"/>
  <c r="BG96" i="1"/>
  <c r="BH96" i="1" s="1" a="1"/>
  <c r="BH96" i="1" s="1"/>
  <c r="BG108" i="1"/>
  <c r="BH108" i="1" s="1" a="1"/>
  <c r="BH108" i="1" s="1"/>
  <c r="BG80" i="1"/>
  <c r="BH80" i="1" s="1" a="1"/>
  <c r="BH80" i="1" s="1"/>
  <c r="BG73" i="1"/>
  <c r="BH73" i="1" s="1" a="1"/>
  <c r="BH73" i="1" s="1"/>
  <c r="BG34" i="1"/>
  <c r="BH34" i="1" s="1" a="1"/>
  <c r="BH34" i="1" s="1"/>
  <c r="BG20" i="1"/>
  <c r="BH20" i="1" s="1" a="1"/>
  <c r="BH20" i="1" s="1"/>
  <c r="BG95" i="1"/>
  <c r="BH95" i="1" s="1" a="1"/>
  <c r="BH95" i="1" s="1"/>
  <c r="BG22" i="1"/>
  <c r="BH22" i="1" s="1" a="1"/>
  <c r="BH22" i="1" s="1"/>
  <c r="BG77" i="1"/>
  <c r="BH77" i="1" s="1" a="1"/>
  <c r="BH77" i="1" s="1"/>
  <c r="BG36" i="1"/>
  <c r="BH36" i="1" s="1" a="1"/>
  <c r="BH36" i="1" s="1"/>
  <c r="BG60" i="1"/>
  <c r="BH60" i="1" s="1" a="1"/>
  <c r="BH60" i="1" s="1"/>
  <c r="BG63" i="1"/>
  <c r="BH63" i="1" s="1" a="1"/>
  <c r="BH63" i="1" s="1"/>
  <c r="BG41" i="1"/>
  <c r="BH41" i="1" s="1" a="1"/>
  <c r="BH41" i="1" s="1"/>
  <c r="BG90" i="1"/>
  <c r="BH90" i="1" s="1" a="1"/>
  <c r="BH90" i="1" s="1"/>
  <c r="BG110" i="1"/>
  <c r="BH110" i="1" s="1" a="1"/>
  <c r="BH110" i="1" s="1"/>
  <c r="BG40" i="1"/>
  <c r="BH40" i="1" s="1" a="1"/>
  <c r="BH40" i="1" s="1"/>
  <c r="BG71" i="1"/>
  <c r="BH71" i="1" s="1" a="1"/>
  <c r="BH71" i="1" s="1"/>
  <c r="BO53" i="1"/>
  <c r="BG99" i="1"/>
  <c r="BH99" i="1" s="1" a="1"/>
  <c r="BH99" i="1" s="1"/>
  <c r="BK50" i="1"/>
  <c r="BS34" i="1"/>
  <c r="BK65" i="1"/>
  <c r="BO71" i="1"/>
  <c r="CJ37" i="1" l="1" a="1"/>
  <c r="CJ37" i="1" s="1"/>
  <c r="BL48" i="1" a="1"/>
  <c r="BL48" i="1" s="1"/>
  <c r="CJ65" i="1" a="1"/>
  <c r="CJ65" i="1" s="1"/>
  <c r="CJ99" i="1" a="1"/>
  <c r="CJ99" i="1" s="1"/>
  <c r="CJ67" i="1" a="1"/>
  <c r="CJ67" i="1" s="1"/>
  <c r="CJ17" i="1" a="1"/>
  <c r="CJ17" i="1" s="1"/>
  <c r="BP47" i="1" a="1"/>
  <c r="BP47" i="1" s="1"/>
  <c r="BP21" i="1" a="1"/>
  <c r="BP21" i="1" s="1"/>
  <c r="CJ23" i="1" a="1"/>
  <c r="CJ23" i="1" s="1"/>
  <c r="BP20" i="1" a="1"/>
  <c r="BP20" i="1" s="1"/>
  <c r="BL94" i="1" a="1"/>
  <c r="BL94" i="1" s="1"/>
  <c r="CF30" i="1" a="1"/>
  <c r="CF30" i="1" s="1"/>
  <c r="CF61" i="1" a="1"/>
  <c r="CF61" i="1" s="1"/>
  <c r="CF92" i="1" a="1"/>
  <c r="CF92" i="1" s="1"/>
  <c r="CF96" i="1" a="1"/>
  <c r="CF96" i="1" s="1"/>
  <c r="BP59" i="1" a="1"/>
  <c r="BP59" i="1" s="1"/>
  <c r="BL59" i="1" a="1"/>
  <c r="BL59" i="1" s="1"/>
  <c r="CJ53" i="1" a="1"/>
  <c r="CJ53" i="1" s="1"/>
  <c r="BP53" i="1" a="1"/>
  <c r="BP53" i="1" s="1"/>
  <c r="CF111" i="1" a="1"/>
  <c r="CF111" i="1" s="1"/>
  <c r="CF84" i="1" a="1"/>
  <c r="CF84" i="1" s="1"/>
  <c r="CF64" i="1" a="1"/>
  <c r="CF64" i="1" s="1"/>
  <c r="BL21" i="1" a="1"/>
  <c r="BL21" i="1" s="1"/>
  <c r="BP81" i="1" a="1"/>
  <c r="BP81" i="1" s="1"/>
  <c r="CF32" i="1" a="1"/>
  <c r="CF32" i="1" s="1"/>
  <c r="BP28" i="1" a="1"/>
  <c r="BP28" i="1" s="1"/>
  <c r="CJ21" i="1" a="1"/>
  <c r="CJ21" i="1" s="1"/>
  <c r="CF85" i="1" a="1"/>
  <c r="CF85" i="1" s="1"/>
  <c r="CJ93" i="1" a="1"/>
  <c r="CJ93" i="1" s="1"/>
  <c r="CJ96" i="1" a="1"/>
  <c r="CJ96" i="1" s="1"/>
  <c r="CF52" i="1" a="1"/>
  <c r="CF52" i="1" s="1"/>
  <c r="BP64" i="1" a="1"/>
  <c r="BP64" i="1" s="1"/>
  <c r="BP39" i="1" a="1"/>
  <c r="BP39" i="1" s="1"/>
  <c r="CJ91" i="1" a="1"/>
  <c r="CJ91" i="1" s="1"/>
  <c r="CF27" i="1" a="1"/>
  <c r="CF27" i="1" s="1"/>
  <c r="BK14" i="1"/>
  <c r="CJ39" i="1" a="1"/>
  <c r="CJ39" i="1" s="1"/>
  <c r="BP97" i="1" a="1"/>
  <c r="BP97" i="1" s="1"/>
  <c r="BL50" i="1" a="1"/>
  <c r="BL50" i="1" s="1"/>
  <c r="BL43" i="1" a="1"/>
  <c r="BL43" i="1" s="1"/>
  <c r="BP19" i="1" a="1"/>
  <c r="BP19" i="1" s="1"/>
  <c r="BP78" i="1" a="1"/>
  <c r="BP78" i="1" s="1"/>
  <c r="BL26" i="1" a="1"/>
  <c r="BL26" i="1" s="1"/>
  <c r="CF21" i="1" a="1"/>
  <c r="CF21" i="1" s="1"/>
  <c r="BL91" i="1" a="1"/>
  <c r="BL91" i="1" s="1"/>
  <c r="CJ64" i="1" a="1"/>
  <c r="CJ64" i="1" s="1"/>
  <c r="CF60" i="1" a="1"/>
  <c r="CF60" i="1" s="1"/>
  <c r="BL109" i="1" a="1"/>
  <c r="BL109" i="1" s="1"/>
  <c r="CJ54" i="1" a="1"/>
  <c r="CJ54" i="1" s="1"/>
  <c r="BP32" i="1" a="1"/>
  <c r="BP32" i="1" s="1"/>
  <c r="BL42" i="1" a="1"/>
  <c r="BL42" i="1" s="1"/>
  <c r="BP23" i="1" a="1"/>
  <c r="BP23" i="1" s="1"/>
  <c r="CJ79" i="1" a="1"/>
  <c r="CJ79" i="1" s="1"/>
  <c r="CJ32" i="1" a="1"/>
  <c r="CJ32" i="1" s="1"/>
  <c r="CF74" i="1" a="1"/>
  <c r="CF74" i="1" s="1"/>
  <c r="BP107" i="1" a="1"/>
  <c r="BP107" i="1" s="1"/>
  <c r="CF53" i="1" a="1"/>
  <c r="CF53" i="1" s="1"/>
  <c r="BP67" i="1" a="1"/>
  <c r="BP67" i="1" s="1"/>
  <c r="CF28" i="1" a="1"/>
  <c r="CF28" i="1" s="1"/>
  <c r="CF16" i="1" a="1"/>
  <c r="CF16" i="1" s="1"/>
  <c r="BL35" i="1" a="1"/>
  <c r="BL35" i="1" s="1"/>
  <c r="BP56" i="1" a="1"/>
  <c r="BP56" i="1" s="1"/>
  <c r="CF36" i="1" a="1"/>
  <c r="CF36" i="1" s="1"/>
  <c r="CF106" i="1" a="1"/>
  <c r="CF106" i="1" s="1"/>
  <c r="CJ80" i="1" a="1"/>
  <c r="CJ80" i="1" s="1"/>
  <c r="CM14" i="1"/>
  <c r="CO14" i="1" s="1" a="1"/>
  <c r="CO14" i="1" s="1"/>
  <c r="BP82" i="1" a="1"/>
  <c r="BP82" i="1" s="1"/>
  <c r="BP61" i="1" a="1"/>
  <c r="BP61" i="1" s="1"/>
  <c r="CF40" i="1" a="1"/>
  <c r="CF40" i="1" s="1"/>
  <c r="CF95" i="1" a="1"/>
  <c r="CF95" i="1" s="1"/>
  <c r="CF83" i="1" a="1"/>
  <c r="CF83" i="1" s="1"/>
  <c r="CJ109" i="1" a="1"/>
  <c r="CJ109" i="1" s="1"/>
  <c r="CF90" i="1" a="1"/>
  <c r="CF90" i="1" s="1"/>
  <c r="CJ77" i="1" a="1"/>
  <c r="CJ77" i="1" s="1"/>
  <c r="BP66" i="1" a="1"/>
  <c r="BP66" i="1" s="1"/>
  <c r="BP40" i="1" a="1"/>
  <c r="BP40" i="1" s="1"/>
  <c r="BP108" i="1" a="1"/>
  <c r="BP108" i="1" s="1"/>
  <c r="BP44" i="1" a="1"/>
  <c r="BP44" i="1" s="1"/>
  <c r="BL88" i="1" a="1"/>
  <c r="BL88" i="1" s="1"/>
  <c r="CF99" i="1" a="1"/>
  <c r="CF99" i="1" s="1"/>
  <c r="CF54" i="1" a="1"/>
  <c r="CF54" i="1" s="1"/>
  <c r="CJ82" i="1" a="1"/>
  <c r="CJ82" i="1" s="1"/>
  <c r="CJ58" i="1" a="1"/>
  <c r="CJ58" i="1" s="1"/>
  <c r="CJ108" i="1" a="1"/>
  <c r="CJ108" i="1" s="1"/>
  <c r="CJ31" i="1" a="1"/>
  <c r="CJ31" i="1" s="1"/>
  <c r="CJ98" i="1" a="1"/>
  <c r="CJ98" i="1" s="1"/>
  <c r="CJ48" i="1" a="1"/>
  <c r="CJ48" i="1" s="1"/>
  <c r="CJ15" i="1" a="1"/>
  <c r="CJ15" i="1" s="1"/>
  <c r="CJ89" i="1" a="1"/>
  <c r="CJ89" i="1" s="1"/>
  <c r="CJ63" i="1" a="1"/>
  <c r="CJ63" i="1" s="1"/>
  <c r="CJ45" i="1" a="1"/>
  <c r="CJ45" i="1" s="1"/>
  <c r="CJ69" i="1" a="1"/>
  <c r="CJ69" i="1" s="1"/>
  <c r="CJ55" i="1" a="1"/>
  <c r="CJ55" i="1" s="1"/>
  <c r="BP110" i="1" a="1"/>
  <c r="BP110" i="1" s="1"/>
  <c r="BP90" i="1" a="1"/>
  <c r="BP90" i="1" s="1"/>
  <c r="BP30" i="1" a="1"/>
  <c r="BP30" i="1" s="1"/>
  <c r="BP87" i="1" a="1"/>
  <c r="BP87" i="1" s="1"/>
  <c r="BP33" i="1" a="1"/>
  <c r="BP33" i="1" s="1"/>
  <c r="CF104" i="1" a="1"/>
  <c r="CF104" i="1" s="1"/>
  <c r="CF88" i="1" a="1"/>
  <c r="CF88" i="1" s="1"/>
  <c r="CF63" i="1" a="1"/>
  <c r="CF63" i="1" s="1"/>
  <c r="BL32" i="1" a="1"/>
  <c r="BL32" i="1" s="1"/>
  <c r="BL27" i="1" a="1"/>
  <c r="BL27" i="1" s="1"/>
  <c r="BL36" i="1" a="1"/>
  <c r="BL36" i="1" s="1"/>
  <c r="BL22" i="1" a="1"/>
  <c r="BL22" i="1" s="1"/>
  <c r="BL18" i="1" a="1"/>
  <c r="BL18" i="1" s="1"/>
  <c r="BL19" i="1" a="1"/>
  <c r="BL19" i="1" s="1"/>
  <c r="BL80" i="1" a="1"/>
  <c r="BL80" i="1" s="1"/>
  <c r="BL46" i="1" a="1"/>
  <c r="BL46" i="1" s="1"/>
  <c r="CF102" i="1" a="1"/>
  <c r="CF102" i="1" s="1"/>
  <c r="CJ110" i="1" a="1"/>
  <c r="CJ110" i="1" s="1"/>
  <c r="BL98" i="1" a="1"/>
  <c r="BL98" i="1" s="1"/>
  <c r="CF47" i="1" a="1"/>
  <c r="CF47" i="1" s="1"/>
  <c r="CJ44" i="1" a="1"/>
  <c r="CJ44" i="1" s="1"/>
  <c r="CF103" i="1" a="1"/>
  <c r="CF103" i="1" s="1"/>
  <c r="CJ95" i="1" a="1"/>
  <c r="CJ95" i="1" s="1"/>
  <c r="CJ83" i="1" a="1"/>
  <c r="CJ83" i="1" s="1"/>
  <c r="BP95" i="1" a="1"/>
  <c r="BP95" i="1" s="1"/>
  <c r="BP45" i="1" a="1"/>
  <c r="BP45" i="1" s="1"/>
  <c r="CF49" i="1" a="1"/>
  <c r="CF49" i="1" s="1"/>
  <c r="CF71" i="1" a="1"/>
  <c r="CF71" i="1" s="1"/>
  <c r="CJ68" i="1" a="1"/>
  <c r="CJ68" i="1" s="1"/>
  <c r="BL73" i="1" a="1"/>
  <c r="BL73" i="1" s="1"/>
  <c r="BP100" i="1" a="1"/>
  <c r="BP100" i="1" s="1"/>
  <c r="BP104" i="1" a="1"/>
  <c r="BP104" i="1" s="1"/>
  <c r="BL103" i="1" a="1"/>
  <c r="BL103" i="1" s="1"/>
  <c r="CJ107" i="1" a="1"/>
  <c r="CJ107" i="1" s="1"/>
  <c r="BP93" i="1" a="1"/>
  <c r="BP93" i="1" s="1"/>
  <c r="CJ19" i="1" a="1"/>
  <c r="CJ19" i="1" s="1"/>
  <c r="CJ51" i="1" a="1"/>
  <c r="CJ51" i="1" s="1"/>
  <c r="CJ73" i="1" a="1"/>
  <c r="CJ73" i="1" s="1"/>
  <c r="BL64" i="1" a="1"/>
  <c r="BL64" i="1" s="1"/>
  <c r="CF45" i="1" a="1"/>
  <c r="CF45" i="1" s="1"/>
  <c r="CJ97" i="1" a="1"/>
  <c r="CJ97" i="1" s="1"/>
  <c r="BP89" i="1" a="1"/>
  <c r="BP89" i="1" s="1"/>
  <c r="BL56" i="1" a="1"/>
  <c r="BL56" i="1" s="1"/>
  <c r="BL72" i="1" a="1"/>
  <c r="BL72" i="1" s="1"/>
  <c r="BP16" i="1" a="1"/>
  <c r="BP16" i="1" s="1"/>
  <c r="BP96" i="1" a="1"/>
  <c r="BP96" i="1" s="1"/>
  <c r="CF42" i="1" a="1"/>
  <c r="CF42" i="1" s="1"/>
  <c r="CF68" i="1" a="1"/>
  <c r="CF68" i="1" s="1"/>
  <c r="BP79" i="1" a="1"/>
  <c r="BP79" i="1" s="1"/>
  <c r="BP111" i="1" a="1"/>
  <c r="BP111" i="1" s="1"/>
  <c r="BL15" i="1" a="1"/>
  <c r="BL15" i="1" s="1"/>
  <c r="BP76" i="1" a="1"/>
  <c r="BP76" i="1" s="1"/>
  <c r="BP41" i="1" a="1"/>
  <c r="BP41" i="1" s="1"/>
  <c r="CF66" i="1" a="1"/>
  <c r="CF66" i="1" s="1"/>
  <c r="CF35" i="1" a="1"/>
  <c r="CF35" i="1" s="1"/>
  <c r="CF57" i="1" a="1"/>
  <c r="CF57" i="1" s="1"/>
  <c r="CF50" i="1" a="1"/>
  <c r="CF50" i="1" s="1"/>
  <c r="CF75" i="1" a="1"/>
  <c r="CF75" i="1" s="1"/>
  <c r="CJ34" i="1" a="1"/>
  <c r="CJ34" i="1" s="1"/>
  <c r="CJ20" i="1" a="1"/>
  <c r="CJ20" i="1" s="1"/>
  <c r="CJ101" i="1" a="1"/>
  <c r="CJ101" i="1" s="1"/>
  <c r="CF26" i="1" a="1"/>
  <c r="CF26" i="1" s="1"/>
  <c r="CF76" i="1" a="1"/>
  <c r="CF76" i="1" s="1"/>
  <c r="CJ18" i="1" a="1"/>
  <c r="CJ18" i="1" s="1"/>
  <c r="CJ46" i="1" a="1"/>
  <c r="CJ46" i="1" s="1"/>
  <c r="BP74" i="1" a="1"/>
  <c r="BP74" i="1" s="1"/>
  <c r="CF94" i="1" a="1"/>
  <c r="CF94" i="1" s="1"/>
  <c r="CJ25" i="1" a="1"/>
  <c r="CJ25" i="1" s="1"/>
  <c r="BP17" i="1" a="1"/>
  <c r="BP17" i="1" s="1"/>
  <c r="CJ62" i="1" a="1"/>
  <c r="CJ62" i="1" s="1"/>
  <c r="BP71" i="1" a="1"/>
  <c r="BP71" i="1" s="1"/>
  <c r="BL31" i="1" a="1"/>
  <c r="BL31" i="1" s="1"/>
  <c r="BP25" i="1" a="1"/>
  <c r="BP25" i="1" s="1"/>
  <c r="CF72" i="1" a="1"/>
  <c r="CF72" i="1" s="1"/>
  <c r="CF31" i="1" a="1"/>
  <c r="CF31" i="1" s="1"/>
  <c r="CF19" i="1" a="1"/>
  <c r="CF19" i="1" s="1"/>
  <c r="CJ42" i="1" a="1"/>
  <c r="CJ42" i="1" s="1"/>
  <c r="CF97" i="1" a="1"/>
  <c r="CF97" i="1" s="1"/>
  <c r="CF101" i="1" a="1"/>
  <c r="CF101" i="1" s="1"/>
  <c r="CF51" i="1" a="1"/>
  <c r="CF51" i="1" s="1"/>
  <c r="CF73" i="1" a="1"/>
  <c r="CF73" i="1" s="1"/>
  <c r="BP24" i="1" a="1"/>
  <c r="BP24" i="1" s="1"/>
  <c r="BL87" i="1" a="1"/>
  <c r="BL87" i="1" s="1"/>
  <c r="BP103" i="1" a="1"/>
  <c r="BP103" i="1" s="1"/>
  <c r="BL47" i="1" a="1"/>
  <c r="BL47" i="1" s="1"/>
  <c r="CN41" i="1" a="1"/>
  <c r="CN41" i="1" s="1"/>
  <c r="CO41" i="1" a="1"/>
  <c r="CO41" i="1" s="1"/>
  <c r="CF80" i="1" a="1"/>
  <c r="CF80" i="1" s="1"/>
  <c r="CO78" i="1" a="1"/>
  <c r="CO78" i="1" s="1"/>
  <c r="CN78" i="1" a="1"/>
  <c r="CN78" i="1" s="1"/>
  <c r="CF100" i="1" a="1"/>
  <c r="CF100" i="1" s="1"/>
  <c r="CJ111" i="1" a="1"/>
  <c r="CJ111" i="1" s="1"/>
  <c r="CO99" i="1" a="1"/>
  <c r="CO99" i="1" s="1"/>
  <c r="CN99" i="1" a="1"/>
  <c r="CN99" i="1" s="1"/>
  <c r="CF58" i="1" a="1"/>
  <c r="CF58" i="1" s="1"/>
  <c r="CF108" i="1" a="1"/>
  <c r="CF108" i="1" s="1"/>
  <c r="CN36" i="1" a="1"/>
  <c r="CN36" i="1" s="1"/>
  <c r="CO36" i="1" a="1"/>
  <c r="CO36" i="1" s="1"/>
  <c r="CJ105" i="1" a="1"/>
  <c r="CJ105" i="1" s="1"/>
  <c r="CJ106" i="1" a="1"/>
  <c r="CJ106" i="1" s="1"/>
  <c r="CF41" i="1" a="1"/>
  <c r="CF41" i="1" s="1"/>
  <c r="CJ28" i="1" a="1"/>
  <c r="CJ28" i="1" s="1"/>
  <c r="CN87" i="1" a="1"/>
  <c r="CN87" i="1" s="1"/>
  <c r="CO87" i="1" a="1"/>
  <c r="CO87" i="1" s="1"/>
  <c r="CF98" i="1" a="1"/>
  <c r="CF98" i="1" s="1"/>
  <c r="CO33" i="1" a="1"/>
  <c r="CO33" i="1" s="1"/>
  <c r="CN33" i="1" a="1"/>
  <c r="CN33" i="1" s="1"/>
  <c r="CN81" i="1" a="1"/>
  <c r="CN81" i="1" s="1"/>
  <c r="CO81" i="1" a="1"/>
  <c r="CO81" i="1" s="1"/>
  <c r="CF82" i="1" a="1"/>
  <c r="CF82" i="1" s="1"/>
  <c r="CF109" i="1" a="1"/>
  <c r="CF109" i="1" s="1"/>
  <c r="CO59" i="1" a="1"/>
  <c r="CO59" i="1" s="1"/>
  <c r="CN59" i="1" a="1"/>
  <c r="CN59" i="1" s="1"/>
  <c r="CN24" i="1" a="1"/>
  <c r="CN24" i="1" s="1"/>
  <c r="CO24" i="1" a="1"/>
  <c r="CO24" i="1" s="1"/>
  <c r="CJ74" i="1" a="1"/>
  <c r="CJ74" i="1" s="1"/>
  <c r="CJ60" i="1" a="1"/>
  <c r="CJ60" i="1" s="1"/>
  <c r="CF43" i="1" a="1"/>
  <c r="CF43" i="1" s="1"/>
  <c r="CO53" i="1" a="1"/>
  <c r="CO53" i="1" s="1"/>
  <c r="CN53" i="1" a="1"/>
  <c r="CN53" i="1" s="1"/>
  <c r="CF37" i="1" a="1"/>
  <c r="CF37" i="1" s="1"/>
  <c r="CF110" i="1" a="1"/>
  <c r="CF110" i="1" s="1"/>
  <c r="CN94" i="1" a="1"/>
  <c r="CN94" i="1" s="1"/>
  <c r="CO94" i="1" a="1"/>
  <c r="CO94" i="1" s="1"/>
  <c r="CJ29" i="1" a="1"/>
  <c r="CJ29" i="1" s="1"/>
  <c r="CO46" i="1" a="1"/>
  <c r="CO46" i="1" s="1"/>
  <c r="CN46" i="1" a="1"/>
  <c r="CN46" i="1" s="1"/>
  <c r="CJ16" i="1" a="1"/>
  <c r="CJ16" i="1" s="1"/>
  <c r="CN37" i="1" a="1"/>
  <c r="CN37" i="1" s="1"/>
  <c r="CO37" i="1" a="1"/>
  <c r="CO37" i="1" s="1"/>
  <c r="CN63" i="1" a="1"/>
  <c r="CN63" i="1" s="1"/>
  <c r="CO63" i="1" a="1"/>
  <c r="CO63" i="1" s="1"/>
  <c r="CN43" i="1" a="1"/>
  <c r="CN43" i="1" s="1"/>
  <c r="CO43" i="1" a="1"/>
  <c r="CO43" i="1" s="1"/>
  <c r="CO111" i="1" a="1"/>
  <c r="CO111" i="1" s="1"/>
  <c r="CN111" i="1" a="1"/>
  <c r="CN111" i="1" s="1"/>
  <c r="CF105" i="1" a="1"/>
  <c r="CF105" i="1" s="1"/>
  <c r="CN42" i="1" a="1"/>
  <c r="CN42" i="1" s="1"/>
  <c r="CO42" i="1" a="1"/>
  <c r="CO42" i="1" s="1"/>
  <c r="CF87" i="1" a="1"/>
  <c r="CF87" i="1" s="1"/>
  <c r="CF33" i="1" a="1"/>
  <c r="CF33" i="1" s="1"/>
  <c r="CF81" i="1" a="1"/>
  <c r="CF81" i="1" s="1"/>
  <c r="CN23" i="1" a="1"/>
  <c r="CN23" i="1" s="1"/>
  <c r="CO23" i="1" a="1"/>
  <c r="CO23" i="1" s="1"/>
  <c r="CO79" i="1" a="1"/>
  <c r="CO79" i="1" s="1"/>
  <c r="CN79" i="1" a="1"/>
  <c r="CN79" i="1" s="1"/>
  <c r="CN17" i="1" a="1"/>
  <c r="CN17" i="1" s="1"/>
  <c r="CO17" i="1" a="1"/>
  <c r="CO17" i="1" s="1"/>
  <c r="CO25" i="1" a="1"/>
  <c r="CO25" i="1" s="1"/>
  <c r="CN25" i="1" a="1"/>
  <c r="CN25" i="1" s="1"/>
  <c r="CF48" i="1" a="1"/>
  <c r="CF48" i="1" s="1"/>
  <c r="CF59" i="1" a="1"/>
  <c r="CF59" i="1" s="1"/>
  <c r="CO39" i="1" a="1"/>
  <c r="CO39" i="1" s="1"/>
  <c r="CN39" i="1" a="1"/>
  <c r="CN39" i="1" s="1"/>
  <c r="CJ94" i="1" a="1"/>
  <c r="CJ94" i="1" s="1"/>
  <c r="CJ22" i="1" a="1"/>
  <c r="CJ22" i="1" s="1"/>
  <c r="CO54" i="1" a="1"/>
  <c r="CO54" i="1" s="1"/>
  <c r="CN54" i="1" a="1"/>
  <c r="CN54" i="1" s="1"/>
  <c r="CF62" i="1" a="1"/>
  <c r="CF62" i="1" s="1"/>
  <c r="CF86" i="1" a="1"/>
  <c r="CF86" i="1" s="1"/>
  <c r="CO86" i="1" a="1"/>
  <c r="CO86" i="1" s="1"/>
  <c r="CN86" i="1" a="1"/>
  <c r="CN86" i="1" s="1"/>
  <c r="CO40" i="1" a="1"/>
  <c r="CO40" i="1" s="1"/>
  <c r="CN40" i="1" a="1"/>
  <c r="CN40" i="1" s="1"/>
  <c r="CO60" i="1" a="1"/>
  <c r="CO60" i="1" s="1"/>
  <c r="CN60" i="1" a="1"/>
  <c r="CN60" i="1" s="1"/>
  <c r="CN107" i="1" a="1"/>
  <c r="CN107" i="1" s="1"/>
  <c r="CO107" i="1" a="1"/>
  <c r="CO107" i="1" s="1"/>
  <c r="CF24" i="1" a="1"/>
  <c r="CF24" i="1" s="1"/>
  <c r="CF107" i="1" a="1"/>
  <c r="CF107" i="1" s="1"/>
  <c r="CF65" i="1" a="1"/>
  <c r="CF65" i="1" s="1"/>
  <c r="CN100" i="1" a="1"/>
  <c r="CN100" i="1" s="1"/>
  <c r="CO100" i="1" a="1"/>
  <c r="CO100" i="1" s="1"/>
  <c r="CJ47" i="1" a="1"/>
  <c r="CJ47" i="1" s="1"/>
  <c r="CN44" i="1" a="1"/>
  <c r="CN44" i="1" s="1"/>
  <c r="CO44" i="1" a="1"/>
  <c r="CO44" i="1" s="1"/>
  <c r="CN62" i="1" a="1"/>
  <c r="CN62" i="1" s="1"/>
  <c r="CO62" i="1" a="1"/>
  <c r="CO62" i="1" s="1"/>
  <c r="CF91" i="1" a="1"/>
  <c r="CF91" i="1" s="1"/>
  <c r="CN105" i="1" a="1"/>
  <c r="CN105" i="1" s="1"/>
  <c r="CO105" i="1" a="1"/>
  <c r="CO105" i="1" s="1"/>
  <c r="CO34" i="1" a="1"/>
  <c r="CO34" i="1" s="1"/>
  <c r="CN34" i="1" a="1"/>
  <c r="CN34" i="1" s="1"/>
  <c r="CO20" i="1" a="1"/>
  <c r="CO20" i="1" s="1"/>
  <c r="CN20" i="1" a="1"/>
  <c r="CN20" i="1" s="1"/>
  <c r="CJ49" i="1" a="1"/>
  <c r="CJ49" i="1" s="1"/>
  <c r="CF23" i="1" a="1"/>
  <c r="CF23" i="1" s="1"/>
  <c r="CJ84" i="1" a="1"/>
  <c r="CJ84" i="1" s="1"/>
  <c r="CJ71" i="1" a="1"/>
  <c r="CJ71" i="1" s="1"/>
  <c r="CF79" i="1" a="1"/>
  <c r="CF79" i="1" s="1"/>
  <c r="CO109" i="1" a="1"/>
  <c r="CO109" i="1" s="1"/>
  <c r="CN109" i="1" a="1"/>
  <c r="CN109" i="1" s="1"/>
  <c r="CJ90" i="1" a="1"/>
  <c r="CJ90" i="1" s="1"/>
  <c r="CF17" i="1" a="1"/>
  <c r="CF17" i="1" s="1"/>
  <c r="CF25" i="1" a="1"/>
  <c r="CF25" i="1" s="1"/>
  <c r="CN18" i="1" a="1"/>
  <c r="CN18" i="1" s="1"/>
  <c r="CO18" i="1" a="1"/>
  <c r="CO18" i="1" s="1"/>
  <c r="CF39" i="1" a="1"/>
  <c r="CF39" i="1" s="1"/>
  <c r="CJ78" i="1" a="1"/>
  <c r="CJ78" i="1" s="1"/>
  <c r="CJ56" i="1" a="1"/>
  <c r="CJ56" i="1" s="1"/>
  <c r="CJ38" i="1" a="1"/>
  <c r="CJ38" i="1" s="1"/>
  <c r="CO96" i="1" a="1"/>
  <c r="CO96" i="1" s="1"/>
  <c r="CN96" i="1" a="1"/>
  <c r="CN96" i="1" s="1"/>
  <c r="CO85" i="1" a="1"/>
  <c r="CO85" i="1" s="1"/>
  <c r="CN85" i="1" a="1"/>
  <c r="CN85" i="1" s="1"/>
  <c r="CO48" i="1" a="1"/>
  <c r="CO48" i="1" s="1"/>
  <c r="CN48" i="1" a="1"/>
  <c r="CN48" i="1" s="1"/>
  <c r="CF46" i="1" a="1"/>
  <c r="CF46" i="1" s="1"/>
  <c r="CN95" i="1" a="1"/>
  <c r="CN95" i="1" s="1"/>
  <c r="CO95" i="1" a="1"/>
  <c r="CO95" i="1" s="1"/>
  <c r="CO90" i="1" a="1"/>
  <c r="CO90" i="1" s="1"/>
  <c r="CN90" i="1" a="1"/>
  <c r="CN90" i="1" s="1"/>
  <c r="CN93" i="1" a="1"/>
  <c r="CN93" i="1" s="1"/>
  <c r="CO93" i="1" a="1"/>
  <c r="CO93" i="1" s="1"/>
  <c r="CO65" i="1" a="1"/>
  <c r="CO65" i="1" s="1"/>
  <c r="CN65" i="1" a="1"/>
  <c r="CN65" i="1" s="1"/>
  <c r="CJ36" i="1" a="1"/>
  <c r="CJ36" i="1" s="1"/>
  <c r="CO91" i="1" a="1"/>
  <c r="CO91" i="1" s="1"/>
  <c r="CN91" i="1" a="1"/>
  <c r="CN91" i="1" s="1"/>
  <c r="CO66" i="1" a="1"/>
  <c r="CO66" i="1" s="1"/>
  <c r="CN66" i="1" a="1"/>
  <c r="CN66" i="1" s="1"/>
  <c r="CJ100" i="1" a="1"/>
  <c r="CJ100" i="1" s="1"/>
  <c r="CF78" i="1" a="1"/>
  <c r="CF78" i="1" s="1"/>
  <c r="CJ35" i="1" a="1"/>
  <c r="CJ35" i="1" s="1"/>
  <c r="CJ57" i="1" a="1"/>
  <c r="CJ57" i="1" s="1"/>
  <c r="CF44" i="1" a="1"/>
  <c r="CF44" i="1" s="1"/>
  <c r="CN50" i="1" a="1"/>
  <c r="CN50" i="1" s="1"/>
  <c r="CO50" i="1" a="1"/>
  <c r="CO50" i="1" s="1"/>
  <c r="CO38" i="1" a="1"/>
  <c r="CO38" i="1" s="1"/>
  <c r="CN38" i="1" a="1"/>
  <c r="CN38" i="1" s="1"/>
  <c r="CN31" i="1" a="1"/>
  <c r="CN31" i="1" s="1"/>
  <c r="CO31" i="1" a="1"/>
  <c r="CO31" i="1" s="1"/>
  <c r="CN19" i="1" a="1"/>
  <c r="CN19" i="1" s="1"/>
  <c r="CO19" i="1" a="1"/>
  <c r="CO19" i="1" s="1"/>
  <c r="CO92" i="1" a="1"/>
  <c r="CO92" i="1" s="1"/>
  <c r="CN92" i="1" a="1"/>
  <c r="CN92" i="1" s="1"/>
  <c r="CO97" i="1" a="1"/>
  <c r="CO97" i="1" s="1"/>
  <c r="CN97" i="1" a="1"/>
  <c r="CN97" i="1" s="1"/>
  <c r="CJ75" i="1" a="1"/>
  <c r="CJ75" i="1" s="1"/>
  <c r="CJ102" i="1" a="1"/>
  <c r="CJ102" i="1" s="1"/>
  <c r="CN102" i="1" a="1"/>
  <c r="CN102" i="1" s="1"/>
  <c r="CO102" i="1" a="1"/>
  <c r="CO102" i="1" s="1"/>
  <c r="CO26" i="1" a="1"/>
  <c r="CO26" i="1" s="1"/>
  <c r="CN26" i="1" a="1"/>
  <c r="CN26" i="1" s="1"/>
  <c r="CN76" i="1" a="1"/>
  <c r="CN76" i="1" s="1"/>
  <c r="CO76" i="1" a="1"/>
  <c r="CO76" i="1" s="1"/>
  <c r="CO104" i="1" a="1"/>
  <c r="CO104" i="1" s="1"/>
  <c r="CN104" i="1" a="1"/>
  <c r="CN104" i="1" s="1"/>
  <c r="CN51" i="1" a="1"/>
  <c r="CN51" i="1" s="1"/>
  <c r="CO51" i="1" a="1"/>
  <c r="CO51" i="1" s="1"/>
  <c r="CN73" i="1" a="1"/>
  <c r="CN73" i="1" s="1"/>
  <c r="CO73" i="1" a="1"/>
  <c r="CO73" i="1" s="1"/>
  <c r="CO52" i="1" a="1"/>
  <c r="CO52" i="1" s="1"/>
  <c r="CN52" i="1" a="1"/>
  <c r="CN52" i="1" s="1"/>
  <c r="CN61" i="1" a="1"/>
  <c r="CN61" i="1" s="1"/>
  <c r="CO61" i="1" a="1"/>
  <c r="CO61" i="1" s="1"/>
  <c r="CO64" i="1" a="1"/>
  <c r="CO64" i="1" s="1"/>
  <c r="CN64" i="1" a="1"/>
  <c r="CN64" i="1" s="1"/>
  <c r="CO45" i="1" a="1"/>
  <c r="CO45" i="1" s="1"/>
  <c r="CN45" i="1" a="1"/>
  <c r="CN45" i="1" s="1"/>
  <c r="CJ40" i="1" a="1"/>
  <c r="CJ40" i="1" s="1"/>
  <c r="CF29" i="1" a="1"/>
  <c r="CF29" i="1" s="1"/>
  <c r="CN83" i="1" a="1"/>
  <c r="CN83" i="1" s="1"/>
  <c r="CO83" i="1" a="1"/>
  <c r="CO83" i="1" s="1"/>
  <c r="CO84" i="1" a="1"/>
  <c r="CO84" i="1" s="1"/>
  <c r="CN84" i="1" a="1"/>
  <c r="CN84" i="1" s="1"/>
  <c r="CJ27" i="1" a="1"/>
  <c r="CJ27" i="1" s="1"/>
  <c r="CO47" i="1" a="1"/>
  <c r="CO47" i="1" s="1"/>
  <c r="CN47" i="1" a="1"/>
  <c r="CN47" i="1" s="1"/>
  <c r="CO35" i="1" a="1"/>
  <c r="CO35" i="1" s="1"/>
  <c r="CN35" i="1" a="1"/>
  <c r="CN35" i="1" s="1"/>
  <c r="CO57" i="1" a="1"/>
  <c r="CO57" i="1" s="1"/>
  <c r="CN57" i="1" a="1"/>
  <c r="CN57" i="1" s="1"/>
  <c r="CJ103" i="1" a="1"/>
  <c r="CJ103" i="1" s="1"/>
  <c r="CJ92" i="1" a="1"/>
  <c r="CJ92" i="1" s="1"/>
  <c r="CN75" i="1" a="1"/>
  <c r="CN75" i="1" s="1"/>
  <c r="CO75" i="1" a="1"/>
  <c r="CO75" i="1" s="1"/>
  <c r="CF34" i="1" a="1"/>
  <c r="CF34" i="1" s="1"/>
  <c r="CF20" i="1" a="1"/>
  <c r="CF20" i="1" s="1"/>
  <c r="CN49" i="1" a="1"/>
  <c r="CN49" i="1" s="1"/>
  <c r="CO49" i="1" a="1"/>
  <c r="CO49" i="1" s="1"/>
  <c r="CN70" i="1" a="1"/>
  <c r="CN70" i="1" s="1"/>
  <c r="CO70" i="1" a="1"/>
  <c r="CO70" i="1" s="1"/>
  <c r="CO71" i="1" a="1"/>
  <c r="CO71" i="1" s="1"/>
  <c r="CN71" i="1" a="1"/>
  <c r="CN71" i="1" s="1"/>
  <c r="CN68" i="1" a="1"/>
  <c r="CN68" i="1" s="1"/>
  <c r="CO68" i="1" a="1"/>
  <c r="CO68" i="1" s="1"/>
  <c r="CF70" i="1" a="1"/>
  <c r="CF70" i="1" s="1"/>
  <c r="CF18" i="1" a="1"/>
  <c r="CF18" i="1" s="1"/>
  <c r="CN88" i="1" a="1"/>
  <c r="CN88" i="1" s="1"/>
  <c r="CO88" i="1" a="1"/>
  <c r="CO88" i="1" s="1"/>
  <c r="CN30" i="1" a="1"/>
  <c r="CN30" i="1" s="1"/>
  <c r="CO30" i="1" a="1"/>
  <c r="CO30" i="1" s="1"/>
  <c r="CJ52" i="1" a="1"/>
  <c r="CJ52" i="1" s="1"/>
  <c r="CO110" i="1" a="1"/>
  <c r="CO110" i="1" s="1"/>
  <c r="CN110" i="1" a="1"/>
  <c r="CN110" i="1" s="1"/>
  <c r="CJ61" i="1" a="1"/>
  <c r="CJ61" i="1" s="1"/>
  <c r="CJ72" i="1" a="1"/>
  <c r="CJ72" i="1" s="1"/>
  <c r="CN29" i="1" a="1"/>
  <c r="CN29" i="1" s="1"/>
  <c r="CO29" i="1" a="1"/>
  <c r="CO29" i="1" s="1"/>
  <c r="CJ86" i="1" a="1"/>
  <c r="CJ86" i="1" s="1"/>
  <c r="CJ104" i="1" a="1"/>
  <c r="CJ104" i="1" s="1"/>
  <c r="CO77" i="1" a="1"/>
  <c r="CO77" i="1" s="1"/>
  <c r="CN77" i="1" a="1"/>
  <c r="CN77" i="1" s="1"/>
  <c r="CO21" i="1" a="1"/>
  <c r="CO21" i="1" s="1"/>
  <c r="CN21" i="1" a="1"/>
  <c r="CN21" i="1" s="1"/>
  <c r="CO28" i="1" a="1"/>
  <c r="CO28" i="1" s="1"/>
  <c r="CN28" i="1" a="1"/>
  <c r="CN28" i="1" s="1"/>
  <c r="CN55" i="1" a="1"/>
  <c r="CN55" i="1" s="1"/>
  <c r="CO55" i="1" a="1"/>
  <c r="CO55" i="1" s="1"/>
  <c r="CN106" i="1" a="1"/>
  <c r="CN106" i="1" s="1"/>
  <c r="CO106" i="1" a="1"/>
  <c r="CO106" i="1" s="1"/>
  <c r="CO89" i="1" a="1"/>
  <c r="CO89" i="1" s="1"/>
  <c r="CN89" i="1" a="1"/>
  <c r="CN89" i="1" s="1"/>
  <c r="CF38" i="1" a="1"/>
  <c r="CF38" i="1" s="1"/>
  <c r="CO15" i="1" a="1"/>
  <c r="CO15" i="1" s="1"/>
  <c r="CN15" i="1" a="1"/>
  <c r="CN15" i="1" s="1"/>
  <c r="CO67" i="1" a="1"/>
  <c r="CO67" i="1" s="1"/>
  <c r="CN67" i="1" a="1"/>
  <c r="CN67" i="1" s="1"/>
  <c r="CJ30" i="1" a="1"/>
  <c r="CJ30" i="1" s="1"/>
  <c r="CO72" i="1" a="1"/>
  <c r="CO72" i="1" s="1"/>
  <c r="CN72" i="1" a="1"/>
  <c r="CN72" i="1" s="1"/>
  <c r="CN74" i="1" a="1"/>
  <c r="CN74" i="1" s="1"/>
  <c r="CO74" i="1" a="1"/>
  <c r="CO74" i="1" s="1"/>
  <c r="CO80" i="1" a="1"/>
  <c r="CO80" i="1" s="1"/>
  <c r="CN80" i="1" a="1"/>
  <c r="CN80" i="1" s="1"/>
  <c r="CJ24" i="1" a="1"/>
  <c r="CJ24" i="1" s="1"/>
  <c r="CN69" i="1" a="1"/>
  <c r="CN69" i="1" s="1"/>
  <c r="CO69" i="1" a="1"/>
  <c r="CO69" i="1" s="1"/>
  <c r="CF56" i="1" a="1"/>
  <c r="CF56" i="1" s="1"/>
  <c r="CF55" i="1" a="1"/>
  <c r="CF55" i="1" s="1"/>
  <c r="CJ66" i="1" a="1"/>
  <c r="CJ66" i="1" s="1"/>
  <c r="CO27" i="1" a="1"/>
  <c r="CO27" i="1" s="1"/>
  <c r="CN27" i="1" a="1"/>
  <c r="CN27" i="1" s="1"/>
  <c r="CO58" i="1" a="1"/>
  <c r="CO58" i="1" s="1"/>
  <c r="CN58" i="1" a="1"/>
  <c r="CN58" i="1" s="1"/>
  <c r="CO108" i="1" a="1"/>
  <c r="CO108" i="1" s="1"/>
  <c r="CN108" i="1" a="1"/>
  <c r="CN108" i="1" s="1"/>
  <c r="CO103" i="1" a="1"/>
  <c r="CO103" i="1" s="1"/>
  <c r="CN103" i="1" a="1"/>
  <c r="CN103" i="1" s="1"/>
  <c r="CJ50" i="1" a="1"/>
  <c r="CJ50" i="1" s="1"/>
  <c r="CJ41" i="1" a="1"/>
  <c r="CJ41" i="1" s="1"/>
  <c r="CJ87" i="1" a="1"/>
  <c r="CJ87" i="1" s="1"/>
  <c r="CO98" i="1" a="1"/>
  <c r="CO98" i="1" s="1"/>
  <c r="CN98" i="1" a="1"/>
  <c r="CN98" i="1" s="1"/>
  <c r="CJ33" i="1" a="1"/>
  <c r="CJ33" i="1" s="1"/>
  <c r="CJ81" i="1" a="1"/>
  <c r="CJ81" i="1" s="1"/>
  <c r="CF22" i="1" a="1"/>
  <c r="CF22" i="1" s="1"/>
  <c r="CN101" i="1" a="1"/>
  <c r="CN101" i="1" s="1"/>
  <c r="CO101" i="1" a="1"/>
  <c r="CO101" i="1" s="1"/>
  <c r="CF89" i="1" a="1"/>
  <c r="CF89" i="1" s="1"/>
  <c r="CN82" i="1" a="1"/>
  <c r="CN82" i="1" s="1"/>
  <c r="CO82" i="1" a="1"/>
  <c r="CO82" i="1" s="1"/>
  <c r="CO22" i="1" a="1"/>
  <c r="CO22" i="1" s="1"/>
  <c r="CN22" i="1" a="1"/>
  <c r="CN22" i="1" s="1"/>
  <c r="CF15" i="1" a="1"/>
  <c r="CF15" i="1" s="1"/>
  <c r="CF67" i="1" a="1"/>
  <c r="CF67" i="1" s="1"/>
  <c r="CJ26" i="1" a="1"/>
  <c r="CJ26" i="1" s="1"/>
  <c r="CJ76" i="1" a="1"/>
  <c r="CJ76" i="1" s="1"/>
  <c r="CJ59" i="1" a="1"/>
  <c r="CJ59" i="1" s="1"/>
  <c r="CN56" i="1" a="1"/>
  <c r="CN56" i="1" s="1"/>
  <c r="CO56" i="1" a="1"/>
  <c r="CO56" i="1" s="1"/>
  <c r="CJ43" i="1" a="1"/>
  <c r="CJ43" i="1" s="1"/>
  <c r="CF69" i="1" a="1"/>
  <c r="CF69" i="1" s="1"/>
  <c r="CF93" i="1" a="1"/>
  <c r="CF93" i="1" s="1"/>
  <c r="CF77" i="1" a="1"/>
  <c r="CF77" i="1" s="1"/>
  <c r="CJ70" i="1" a="1"/>
  <c r="CJ70" i="1" s="1"/>
  <c r="CJ85" i="1" a="1"/>
  <c r="CJ85" i="1" s="1"/>
  <c r="CO16" i="1" a="1"/>
  <c r="CO16" i="1" s="1"/>
  <c r="CN16" i="1" a="1"/>
  <c r="CN16" i="1" s="1"/>
  <c r="CJ88" i="1" a="1"/>
  <c r="CJ88" i="1" s="1"/>
  <c r="CO32" i="1" a="1"/>
  <c r="CO32" i="1" s="1"/>
  <c r="CN32" i="1" a="1"/>
  <c r="CN32" i="1" s="1"/>
  <c r="BL84" i="1" a="1"/>
  <c r="BL84" i="1" s="1"/>
  <c r="BU42" i="1" a="1"/>
  <c r="BU42" i="1" s="1"/>
  <c r="BT42" i="1" a="1"/>
  <c r="BT42" i="1" s="1"/>
  <c r="BT58" i="1" a="1"/>
  <c r="BT58" i="1" s="1"/>
  <c r="BU58" i="1" a="1"/>
  <c r="BU58" i="1" s="1"/>
  <c r="BU103" i="1" a="1"/>
  <c r="BU103" i="1" s="1"/>
  <c r="BT103" i="1" a="1"/>
  <c r="BT103" i="1" s="1"/>
  <c r="BU16" i="1" a="1"/>
  <c r="BU16" i="1" s="1"/>
  <c r="BT16" i="1" a="1"/>
  <c r="BT16" i="1" s="1"/>
  <c r="BU75" i="1" a="1"/>
  <c r="BU75" i="1" s="1"/>
  <c r="BT75" i="1" a="1"/>
  <c r="BT75" i="1" s="1"/>
  <c r="BU81" i="1" a="1"/>
  <c r="BU81" i="1" s="1"/>
  <c r="BT81" i="1" a="1"/>
  <c r="BT81" i="1" s="1"/>
  <c r="BL57" i="1" a="1"/>
  <c r="BL57" i="1" s="1"/>
  <c r="BL68" i="1" a="1"/>
  <c r="BL68" i="1" s="1"/>
  <c r="BL45" i="1" a="1"/>
  <c r="BL45" i="1" s="1"/>
  <c r="BL105" i="1" a="1"/>
  <c r="BL105" i="1" s="1"/>
  <c r="BL30" i="1" a="1"/>
  <c r="BL30" i="1" s="1"/>
  <c r="BP58" i="1" a="1"/>
  <c r="BP58" i="1" s="1"/>
  <c r="BP36" i="1" a="1"/>
  <c r="BP36" i="1" s="1"/>
  <c r="BP57" i="1" a="1"/>
  <c r="BP57" i="1" s="1"/>
  <c r="BL62" i="1" a="1"/>
  <c r="BL62" i="1" s="1"/>
  <c r="BL20" i="1" a="1"/>
  <c r="BL20" i="1" s="1"/>
  <c r="BU94" i="1" a="1"/>
  <c r="BU94" i="1" s="1"/>
  <c r="BT94" i="1" a="1"/>
  <c r="BT94" i="1" s="1"/>
  <c r="BT47" i="1" a="1"/>
  <c r="BT47" i="1" s="1"/>
  <c r="BU47" i="1" a="1"/>
  <c r="BU47" i="1" s="1"/>
  <c r="BU30" i="1" a="1"/>
  <c r="BU30" i="1" s="1"/>
  <c r="BT30" i="1" a="1"/>
  <c r="BT30" i="1" s="1"/>
  <c r="BT84" i="1" a="1"/>
  <c r="BT84" i="1" s="1"/>
  <c r="BU84" i="1" a="1"/>
  <c r="BU84" i="1" s="1"/>
  <c r="BL83" i="1" a="1"/>
  <c r="BL83" i="1" s="1"/>
  <c r="BT102" i="1" a="1"/>
  <c r="BT102" i="1" s="1"/>
  <c r="BU102" i="1" a="1"/>
  <c r="BU102" i="1" s="1"/>
  <c r="BL24" i="1" a="1"/>
  <c r="BL24" i="1" s="1"/>
  <c r="BP55" i="1" a="1"/>
  <c r="BP55" i="1" s="1"/>
  <c r="BT44" i="1" a="1"/>
  <c r="BT44" i="1" s="1"/>
  <c r="BU44" i="1" a="1"/>
  <c r="BU44" i="1" s="1"/>
  <c r="BP86" i="1" a="1"/>
  <c r="BP86" i="1" s="1"/>
  <c r="BU22" i="1" a="1"/>
  <c r="BU22" i="1" s="1"/>
  <c r="BT22" i="1" a="1"/>
  <c r="BT22" i="1" s="1"/>
  <c r="BU74" i="1" a="1"/>
  <c r="BU74" i="1" s="1"/>
  <c r="BT74" i="1" a="1"/>
  <c r="BT74" i="1" s="1"/>
  <c r="BT66" i="1" a="1"/>
  <c r="BT66" i="1" s="1"/>
  <c r="BU66" i="1" a="1"/>
  <c r="BU66" i="1" s="1"/>
  <c r="BP29" i="1" a="1"/>
  <c r="BP29" i="1" s="1"/>
  <c r="BP54" i="1" a="1"/>
  <c r="BP54" i="1" s="1"/>
  <c r="BP69" i="1" a="1"/>
  <c r="BP69" i="1" s="1"/>
  <c r="BT28" i="1" a="1"/>
  <c r="BT28" i="1" s="1"/>
  <c r="BU28" i="1" a="1"/>
  <c r="BU28" i="1" s="1"/>
  <c r="BT89" i="1" a="1"/>
  <c r="BT89" i="1" s="1"/>
  <c r="BU89" i="1" a="1"/>
  <c r="BU89" i="1" s="1"/>
  <c r="BT34" i="1" a="1"/>
  <c r="BT34" i="1" s="1"/>
  <c r="BU34" i="1" a="1"/>
  <c r="BU34" i="1" s="1"/>
  <c r="BL93" i="1" a="1"/>
  <c r="BL93" i="1" s="1"/>
  <c r="BL63" i="1" a="1"/>
  <c r="BL63" i="1" s="1"/>
  <c r="BP98" i="1" a="1"/>
  <c r="BP98" i="1" s="1"/>
  <c r="BL54" i="1" a="1"/>
  <c r="BL54" i="1" s="1"/>
  <c r="BU54" i="1" a="1"/>
  <c r="BU54" i="1" s="1"/>
  <c r="BT54" i="1" a="1"/>
  <c r="BT54" i="1" s="1"/>
  <c r="BU61" i="1" a="1"/>
  <c r="BU61" i="1" s="1"/>
  <c r="BT61" i="1" a="1"/>
  <c r="BT61" i="1" s="1"/>
  <c r="BT92" i="1" a="1"/>
  <c r="BT92" i="1" s="1"/>
  <c r="BU92" i="1" a="1"/>
  <c r="BU92" i="1" s="1"/>
  <c r="BT59" i="1" a="1"/>
  <c r="BT59" i="1" s="1"/>
  <c r="BU59" i="1" a="1"/>
  <c r="BU59" i="1" s="1"/>
  <c r="BT71" i="1" a="1"/>
  <c r="BT71" i="1" s="1"/>
  <c r="BU71" i="1" a="1"/>
  <c r="BU71" i="1" s="1"/>
  <c r="BT76" i="1" a="1"/>
  <c r="BT76" i="1" s="1"/>
  <c r="BU76" i="1" a="1"/>
  <c r="BU76" i="1" s="1"/>
  <c r="BL39" i="1" a="1"/>
  <c r="BL39" i="1" s="1"/>
  <c r="BL92" i="1" a="1"/>
  <c r="BL92" i="1" s="1"/>
  <c r="BT46" i="1" a="1"/>
  <c r="BT46" i="1" s="1"/>
  <c r="BU46" i="1" a="1"/>
  <c r="BU46" i="1" s="1"/>
  <c r="BU63" i="1" a="1"/>
  <c r="BU63" i="1" s="1"/>
  <c r="BT63" i="1" a="1"/>
  <c r="BT63" i="1" s="1"/>
  <c r="BU56" i="1" a="1"/>
  <c r="BU56" i="1" s="1"/>
  <c r="BT56" i="1" a="1"/>
  <c r="BT56" i="1" s="1"/>
  <c r="BT96" i="1" a="1"/>
  <c r="BT96" i="1" s="1"/>
  <c r="BU96" i="1" a="1"/>
  <c r="BU96" i="1" s="1"/>
  <c r="BT85" i="1" a="1"/>
  <c r="BT85" i="1" s="1"/>
  <c r="BU85" i="1" a="1"/>
  <c r="BU85" i="1" s="1"/>
  <c r="BL81" i="1" a="1"/>
  <c r="BL81" i="1" s="1"/>
  <c r="BP91" i="1" a="1"/>
  <c r="BP91" i="1" s="1"/>
  <c r="BU93" i="1" a="1"/>
  <c r="BU93" i="1" s="1"/>
  <c r="BT93" i="1" a="1"/>
  <c r="BT93" i="1" s="1"/>
  <c r="BL17" i="1" a="1"/>
  <c r="BL17" i="1" s="1"/>
  <c r="BT27" i="1" a="1"/>
  <c r="BT27" i="1" s="1"/>
  <c r="BU27" i="1" a="1"/>
  <c r="BU27" i="1" s="1"/>
  <c r="BU68" i="1" a="1"/>
  <c r="BU68" i="1" s="1"/>
  <c r="BT68" i="1" a="1"/>
  <c r="BT68" i="1" s="1"/>
  <c r="BU73" i="1" a="1"/>
  <c r="BU73" i="1" s="1"/>
  <c r="BT73" i="1" a="1"/>
  <c r="BT73" i="1" s="1"/>
  <c r="BP18" i="1" a="1"/>
  <c r="BP18" i="1" s="1"/>
  <c r="BP109" i="1" a="1"/>
  <c r="BP109" i="1" s="1"/>
  <c r="BL53" i="1" a="1"/>
  <c r="BL53" i="1" s="1"/>
  <c r="BL67" i="1" a="1"/>
  <c r="BL67" i="1" s="1"/>
  <c r="BL23" i="1" a="1"/>
  <c r="BL23" i="1" s="1"/>
  <c r="BP48" i="1" a="1"/>
  <c r="BP48" i="1" s="1"/>
  <c r="BL101" i="1" a="1"/>
  <c r="BL101" i="1" s="1"/>
  <c r="BP52" i="1" a="1"/>
  <c r="BP52" i="1" s="1"/>
  <c r="BL29" i="1" a="1"/>
  <c r="BL29" i="1" s="1"/>
  <c r="BL44" i="1" a="1"/>
  <c r="BL44" i="1" s="1"/>
  <c r="BP99" i="1" a="1"/>
  <c r="BP99" i="1" s="1"/>
  <c r="BL107" i="1" a="1"/>
  <c r="BL107" i="1" s="1"/>
  <c r="BP34" i="1" a="1"/>
  <c r="BP34" i="1" s="1"/>
  <c r="BT77" i="1" a="1"/>
  <c r="BT77" i="1" s="1"/>
  <c r="BU77" i="1" a="1"/>
  <c r="BU77" i="1" s="1"/>
  <c r="BT97" i="1" a="1"/>
  <c r="BT97" i="1" s="1"/>
  <c r="BU97" i="1" a="1"/>
  <c r="BU97" i="1" s="1"/>
  <c r="BP85" i="1" a="1"/>
  <c r="BP85" i="1" s="1"/>
  <c r="BU87" i="1" a="1"/>
  <c r="BU87" i="1" s="1"/>
  <c r="BT87" i="1" a="1"/>
  <c r="BT87" i="1" s="1"/>
  <c r="BU99" i="1" a="1"/>
  <c r="BU99" i="1" s="1"/>
  <c r="BT99" i="1" a="1"/>
  <c r="BT99" i="1" s="1"/>
  <c r="BU50" i="1" a="1"/>
  <c r="BU50" i="1" s="1"/>
  <c r="BT50" i="1" a="1"/>
  <c r="BT50" i="1" s="1"/>
  <c r="BU23" i="1" a="1"/>
  <c r="BU23" i="1" s="1"/>
  <c r="BT23" i="1" a="1"/>
  <c r="BT23" i="1" s="1"/>
  <c r="BP75" i="1" a="1"/>
  <c r="BP75" i="1" s="1"/>
  <c r="BU86" i="1" a="1"/>
  <c r="BU86" i="1" s="1"/>
  <c r="BT86" i="1" a="1"/>
  <c r="BT86" i="1" s="1"/>
  <c r="BP46" i="1" a="1"/>
  <c r="BP46" i="1" s="1"/>
  <c r="BT78" i="1" a="1"/>
  <c r="BT78" i="1" s="1"/>
  <c r="BU78" i="1" a="1"/>
  <c r="BU78" i="1" s="1"/>
  <c r="BL96" i="1" a="1"/>
  <c r="BL96" i="1" s="1"/>
  <c r="BU69" i="1" a="1"/>
  <c r="BU69" i="1" s="1"/>
  <c r="BT69" i="1" a="1"/>
  <c r="BT69" i="1" s="1"/>
  <c r="BP72" i="1" a="1"/>
  <c r="BP72" i="1" s="1"/>
  <c r="BP27" i="1" a="1"/>
  <c r="BP27" i="1" s="1"/>
  <c r="BP37" i="1" a="1"/>
  <c r="BP37" i="1" s="1"/>
  <c r="BU82" i="1" a="1"/>
  <c r="BU82" i="1" s="1"/>
  <c r="BT82" i="1" a="1"/>
  <c r="BT82" i="1" s="1"/>
  <c r="BL33" i="1" a="1"/>
  <c r="BL33" i="1" s="1"/>
  <c r="BU48" i="1" a="1"/>
  <c r="BU48" i="1" s="1"/>
  <c r="BT48" i="1" a="1"/>
  <c r="BT48" i="1" s="1"/>
  <c r="BL95" i="1" a="1"/>
  <c r="BL95" i="1" s="1"/>
  <c r="BL51" i="1" a="1"/>
  <c r="BL51" i="1" s="1"/>
  <c r="BP68" i="1" a="1"/>
  <c r="BP68" i="1" s="1"/>
  <c r="BL37" i="1" a="1"/>
  <c r="BL37" i="1" s="1"/>
  <c r="BL71" i="1" a="1"/>
  <c r="BL71" i="1" s="1"/>
  <c r="BP65" i="1" a="1"/>
  <c r="BP65" i="1" s="1"/>
  <c r="BP35" i="1" a="1"/>
  <c r="BP35" i="1" s="1"/>
  <c r="BP31" i="1" a="1"/>
  <c r="BP31" i="1" s="1"/>
  <c r="BL69" i="1" a="1"/>
  <c r="BL69" i="1" s="1"/>
  <c r="BT39" i="1" a="1"/>
  <c r="BT39" i="1" s="1"/>
  <c r="BU39" i="1" a="1"/>
  <c r="BU39" i="1" s="1"/>
  <c r="BL25" i="1" a="1"/>
  <c r="BL25" i="1" s="1"/>
  <c r="BL55" i="1" a="1"/>
  <c r="BL55" i="1" s="1"/>
  <c r="BU107" i="1" a="1"/>
  <c r="BU107" i="1" s="1"/>
  <c r="BT107" i="1" a="1"/>
  <c r="BT107" i="1" s="1"/>
  <c r="BU35" i="1" a="1"/>
  <c r="BU35" i="1" s="1"/>
  <c r="BT35" i="1" a="1"/>
  <c r="BT35" i="1" s="1"/>
  <c r="BT45" i="1" a="1"/>
  <c r="BT45" i="1" s="1"/>
  <c r="BU45" i="1" a="1"/>
  <c r="BU45" i="1" s="1"/>
  <c r="BT91" i="1" a="1"/>
  <c r="BT91" i="1" s="1"/>
  <c r="BU91" i="1" a="1"/>
  <c r="BU91" i="1" s="1"/>
  <c r="BP84" i="1" a="1"/>
  <c r="BP84" i="1" s="1"/>
  <c r="BT90" i="1" a="1"/>
  <c r="BT90" i="1" s="1"/>
  <c r="BU90" i="1" a="1"/>
  <c r="BU90" i="1" s="1"/>
  <c r="BT70" i="1" a="1"/>
  <c r="BT70" i="1" s="1"/>
  <c r="BU70" i="1" a="1"/>
  <c r="BU70" i="1" s="1"/>
  <c r="BP88" i="1" a="1"/>
  <c r="BP88" i="1" s="1"/>
  <c r="BT72" i="1" a="1"/>
  <c r="BT72" i="1" s="1"/>
  <c r="BU72" i="1" a="1"/>
  <c r="BU72" i="1" s="1"/>
  <c r="BU24" i="1" a="1"/>
  <c r="BU24" i="1" s="1"/>
  <c r="BT24" i="1" a="1"/>
  <c r="BT24" i="1" s="1"/>
  <c r="BP49" i="1" a="1"/>
  <c r="BP49" i="1" s="1"/>
  <c r="BT15" i="1" a="1"/>
  <c r="BT15" i="1" s="1"/>
  <c r="BU15" i="1" a="1"/>
  <c r="BU15" i="1" s="1"/>
  <c r="BT52" i="1" a="1"/>
  <c r="BT52" i="1" s="1"/>
  <c r="BU52" i="1" a="1"/>
  <c r="BU52" i="1" s="1"/>
  <c r="BL76" i="1" a="1"/>
  <c r="BL76" i="1" s="1"/>
  <c r="BL58" i="1" a="1"/>
  <c r="BL58" i="1" s="1"/>
  <c r="BL102" i="1" a="1"/>
  <c r="BL102" i="1" s="1"/>
  <c r="BL60" i="1" a="1"/>
  <c r="BL60" i="1" s="1"/>
  <c r="BL79" i="1" a="1"/>
  <c r="BL79" i="1" s="1"/>
  <c r="BP73" i="1" a="1"/>
  <c r="BP73" i="1" s="1"/>
  <c r="BL52" i="1" a="1"/>
  <c r="BL52" i="1" s="1"/>
  <c r="BP60" i="1" a="1"/>
  <c r="BP60" i="1" s="1"/>
  <c r="BP15" i="1" a="1"/>
  <c r="BP15" i="1" s="1"/>
  <c r="BL78" i="1" a="1"/>
  <c r="BL78" i="1" s="1"/>
  <c r="BP92" i="1" a="1"/>
  <c r="BP92" i="1" s="1"/>
  <c r="BL111" i="1" a="1"/>
  <c r="BL111" i="1" s="1"/>
  <c r="BP105" i="1" a="1"/>
  <c r="BP105" i="1" s="1"/>
  <c r="BU100" i="1" a="1"/>
  <c r="BU100" i="1" s="1"/>
  <c r="BT100" i="1" a="1"/>
  <c r="BT100" i="1" s="1"/>
  <c r="BL41" i="1" a="1"/>
  <c r="BL41" i="1" s="1"/>
  <c r="BP106" i="1" a="1"/>
  <c r="BP106" i="1" s="1"/>
  <c r="BT111" i="1" a="1"/>
  <c r="BT111" i="1" s="1"/>
  <c r="BU111" i="1" a="1"/>
  <c r="BU111" i="1" s="1"/>
  <c r="BT53" i="1" a="1"/>
  <c r="BT53" i="1" s="1"/>
  <c r="BU53" i="1" a="1"/>
  <c r="BU53" i="1" s="1"/>
  <c r="BT79" i="1" a="1"/>
  <c r="BT79" i="1" s="1"/>
  <c r="BU79" i="1" a="1"/>
  <c r="BU79" i="1" s="1"/>
  <c r="BU31" i="1" a="1"/>
  <c r="BU31" i="1" s="1"/>
  <c r="BT31" i="1" a="1"/>
  <c r="BT31" i="1" s="1"/>
  <c r="BU29" i="1" a="1"/>
  <c r="BU29" i="1" s="1"/>
  <c r="BT29" i="1" a="1"/>
  <c r="BT29" i="1" s="1"/>
  <c r="BP70" i="1" a="1"/>
  <c r="BP70" i="1" s="1"/>
  <c r="BL16" i="1" a="1"/>
  <c r="BL16" i="1" s="1"/>
  <c r="BT104" i="1" a="1"/>
  <c r="BT104" i="1" s="1"/>
  <c r="BU104" i="1" a="1"/>
  <c r="BU104" i="1" s="1"/>
  <c r="BU43" i="1" a="1"/>
  <c r="BU43" i="1" s="1"/>
  <c r="BT43" i="1" a="1"/>
  <c r="BT43" i="1" s="1"/>
  <c r="BT33" i="1" a="1"/>
  <c r="BT33" i="1" s="1"/>
  <c r="BU33" i="1" a="1"/>
  <c r="BU33" i="1" s="1"/>
  <c r="BU109" i="1" a="1"/>
  <c r="BU109" i="1" s="1"/>
  <c r="BT109" i="1" a="1"/>
  <c r="BT109" i="1" s="1"/>
  <c r="BP77" i="1" a="1"/>
  <c r="BP77" i="1" s="1"/>
  <c r="BL74" i="1" a="1"/>
  <c r="BL74" i="1" s="1"/>
  <c r="BU88" i="1" a="1"/>
  <c r="BU88" i="1" s="1"/>
  <c r="BT88" i="1" a="1"/>
  <c r="BT88" i="1" s="1"/>
  <c r="BT51" i="1" a="1"/>
  <c r="BT51" i="1" s="1"/>
  <c r="BU51" i="1" a="1"/>
  <c r="BU51" i="1" s="1"/>
  <c r="BU105" i="1" a="1"/>
  <c r="BU105" i="1" s="1"/>
  <c r="BT105" i="1" a="1"/>
  <c r="BT105" i="1" s="1"/>
  <c r="BT19" i="1" a="1"/>
  <c r="BT19" i="1" s="1"/>
  <c r="BU19" i="1" a="1"/>
  <c r="BU19" i="1" s="1"/>
  <c r="BL99" i="1" a="1"/>
  <c r="BL99" i="1" s="1"/>
  <c r="BP43" i="1" a="1"/>
  <c r="BP43" i="1" s="1"/>
  <c r="BP50" i="1" a="1"/>
  <c r="BP50" i="1" s="1"/>
  <c r="BL28" i="1" a="1"/>
  <c r="BL28" i="1" s="1"/>
  <c r="BU55" i="1" a="1"/>
  <c r="BU55" i="1" s="1"/>
  <c r="BT55" i="1" a="1"/>
  <c r="BT55" i="1" s="1"/>
  <c r="BL89" i="1" a="1"/>
  <c r="BL89" i="1" s="1"/>
  <c r="BP42" i="1" a="1"/>
  <c r="BP42" i="1" s="1"/>
  <c r="BL77" i="1" a="1"/>
  <c r="BL77" i="1" s="1"/>
  <c r="BU106" i="1" a="1"/>
  <c r="BU106" i="1" s="1"/>
  <c r="BT106" i="1" a="1"/>
  <c r="BT106" i="1" s="1"/>
  <c r="BT64" i="1" a="1"/>
  <c r="BT64" i="1" s="1"/>
  <c r="BU64" i="1" a="1"/>
  <c r="BU64" i="1" s="1"/>
  <c r="BT98" i="1" a="1"/>
  <c r="BT98" i="1" s="1"/>
  <c r="BU98" i="1" a="1"/>
  <c r="BU98" i="1" s="1"/>
  <c r="BP26" i="1" a="1"/>
  <c r="BP26" i="1" s="1"/>
  <c r="BP101" i="1" a="1"/>
  <c r="BP101" i="1" s="1"/>
  <c r="BU62" i="1" a="1"/>
  <c r="BU62" i="1" s="1"/>
  <c r="BT62" i="1" a="1"/>
  <c r="BT62" i="1" s="1"/>
  <c r="BT40" i="1" a="1"/>
  <c r="BT40" i="1" s="1"/>
  <c r="BU40" i="1" a="1"/>
  <c r="BU40" i="1" s="1"/>
  <c r="BU80" i="1" a="1"/>
  <c r="BU80" i="1" s="1"/>
  <c r="BT80" i="1" a="1"/>
  <c r="BT80" i="1" s="1"/>
  <c r="BL104" i="1" a="1"/>
  <c r="BL104" i="1" s="1"/>
  <c r="BU67" i="1" a="1"/>
  <c r="BU67" i="1" s="1"/>
  <c r="BT67" i="1" a="1"/>
  <c r="BT67" i="1" s="1"/>
  <c r="BL75" i="1" a="1"/>
  <c r="BL75" i="1" s="1"/>
  <c r="BT65" i="1" a="1"/>
  <c r="BT65" i="1" s="1"/>
  <c r="BU65" i="1" a="1"/>
  <c r="BU65" i="1" s="1"/>
  <c r="BU17" i="1" a="1"/>
  <c r="BU17" i="1" s="1"/>
  <c r="BT17" i="1" a="1"/>
  <c r="BT17" i="1" s="1"/>
  <c r="BP38" i="1" a="1"/>
  <c r="BP38" i="1" s="1"/>
  <c r="BU49" i="1" a="1"/>
  <c r="BU49" i="1" s="1"/>
  <c r="BT49" i="1" a="1"/>
  <c r="BT49" i="1" s="1"/>
  <c r="BP94" i="1" a="1"/>
  <c r="BP94" i="1" s="1"/>
  <c r="BT60" i="1" a="1"/>
  <c r="BT60" i="1" s="1"/>
  <c r="BU60" i="1" a="1"/>
  <c r="BU60" i="1" s="1"/>
  <c r="BT25" i="1" a="1"/>
  <c r="BT25" i="1" s="1"/>
  <c r="BU25" i="1" a="1"/>
  <c r="BU25" i="1" s="1"/>
  <c r="BT83" i="1" a="1"/>
  <c r="BT83" i="1" s="1"/>
  <c r="BU83" i="1" a="1"/>
  <c r="BU83" i="1" s="1"/>
  <c r="BU41" i="1" a="1"/>
  <c r="BU41" i="1" s="1"/>
  <c r="BT41" i="1" a="1"/>
  <c r="BT41" i="1" s="1"/>
  <c r="BL38" i="1" a="1"/>
  <c r="BL38" i="1" s="1"/>
  <c r="BL65" i="1" a="1"/>
  <c r="BL65" i="1" s="1"/>
  <c r="BL110" i="1" a="1"/>
  <c r="BL110" i="1" s="1"/>
  <c r="BL100" i="1" a="1"/>
  <c r="BL100" i="1" s="1"/>
  <c r="BL49" i="1" a="1"/>
  <c r="BL49" i="1" s="1"/>
  <c r="BP51" i="1" a="1"/>
  <c r="BP51" i="1" s="1"/>
  <c r="BL106" i="1" a="1"/>
  <c r="BL106" i="1" s="1"/>
  <c r="BL86" i="1" a="1"/>
  <c r="BL86" i="1" s="1"/>
  <c r="BL70" i="1" a="1"/>
  <c r="BL70" i="1" s="1"/>
  <c r="BL34" i="1" a="1"/>
  <c r="BL34" i="1" s="1"/>
  <c r="BL85" i="1" a="1"/>
  <c r="BL85" i="1" s="1"/>
  <c r="BL82" i="1" a="1"/>
  <c r="BL82" i="1" s="1"/>
  <c r="BP83" i="1" a="1"/>
  <c r="BP83" i="1" s="1"/>
  <c r="BL108" i="1" a="1"/>
  <c r="BL108" i="1" s="1"/>
  <c r="BU37" i="1" a="1"/>
  <c r="BU37" i="1" s="1"/>
  <c r="BT37" i="1" a="1"/>
  <c r="BT37" i="1" s="1"/>
  <c r="BL97" i="1" a="1"/>
  <c r="BL97" i="1" s="1"/>
  <c r="BL66" i="1" a="1"/>
  <c r="BL66" i="1" s="1"/>
  <c r="BT20" i="1" a="1"/>
  <c r="BT20" i="1" s="1"/>
  <c r="BU20" i="1" a="1"/>
  <c r="BU20" i="1" s="1"/>
  <c r="BT26" i="1" a="1"/>
  <c r="BT26" i="1" s="1"/>
  <c r="BU26" i="1" a="1"/>
  <c r="BU26" i="1" s="1"/>
  <c r="BU36" i="1" a="1"/>
  <c r="BU36" i="1" s="1"/>
  <c r="BT36" i="1" a="1"/>
  <c r="BT36" i="1" s="1"/>
  <c r="BU95" i="1" a="1"/>
  <c r="BU95" i="1" s="1"/>
  <c r="BT95" i="1" a="1"/>
  <c r="BT95" i="1" s="1"/>
  <c r="BL61" i="1" a="1"/>
  <c r="BL61" i="1" s="1"/>
  <c r="BT32" i="1" a="1"/>
  <c r="BT32" i="1" s="1"/>
  <c r="BU32" i="1" a="1"/>
  <c r="BU32" i="1" s="1"/>
  <c r="BP62" i="1" a="1"/>
  <c r="BP62" i="1" s="1"/>
  <c r="BL40" i="1" a="1"/>
  <c r="BL40" i="1" s="1"/>
  <c r="BP80" i="1" a="1"/>
  <c r="BP80" i="1" s="1"/>
  <c r="BT38" i="1" a="1"/>
  <c r="BT38" i="1" s="1"/>
  <c r="BU38" i="1" a="1"/>
  <c r="BU38" i="1" s="1"/>
  <c r="BP22" i="1" a="1"/>
  <c r="BP22" i="1" s="1"/>
  <c r="BT21" i="1" a="1"/>
  <c r="BT21" i="1" s="1"/>
  <c r="BU21" i="1" a="1"/>
  <c r="BU21" i="1" s="1"/>
  <c r="BT108" i="1" a="1"/>
  <c r="BT108" i="1" s="1"/>
  <c r="BU108" i="1" a="1"/>
  <c r="BU108" i="1" s="1"/>
  <c r="BT110" i="1" a="1"/>
  <c r="BT110" i="1" s="1"/>
  <c r="BU110" i="1" a="1"/>
  <c r="BU110" i="1" s="1"/>
  <c r="BL90" i="1" a="1"/>
  <c r="BL90" i="1" s="1"/>
  <c r="BU18" i="1" a="1"/>
  <c r="BU18" i="1" s="1"/>
  <c r="BT18" i="1" a="1"/>
  <c r="BT18" i="1" s="1"/>
  <c r="BP63" i="1" a="1"/>
  <c r="BP63" i="1" s="1"/>
  <c r="BU101" i="1" a="1"/>
  <c r="BU101" i="1" s="1"/>
  <c r="BT101" i="1" a="1"/>
  <c r="BT101" i="1" s="1"/>
  <c r="BP102" i="1" a="1"/>
  <c r="BP102" i="1" s="1"/>
  <c r="BT57" i="1" a="1"/>
  <c r="BT57" i="1" s="1"/>
  <c r="BU57" i="1" a="1"/>
  <c r="BU57" i="1" s="1"/>
  <c r="BO14" i="1"/>
  <c r="CA14" i="1"/>
  <c r="CB14" i="1" s="1" a="1"/>
  <c r="CB14" i="1" s="1"/>
  <c r="BS14" i="1"/>
  <c r="CE14" i="1"/>
  <c r="BG14" i="1"/>
  <c r="BH14" i="1" s="1" a="1"/>
  <c r="BH14" i="1" s="1"/>
  <c r="CI14" i="1"/>
  <c r="CN14" i="1" l="1" a="1"/>
  <c r="CN14" i="1" s="1"/>
  <c r="CF14" i="1" a="1"/>
  <c r="CF14" i="1" s="1"/>
  <c r="BL14" i="1" a="1"/>
  <c r="BL14" i="1" s="1"/>
  <c r="CP77" i="1"/>
  <c r="V77" i="1" s="1"/>
  <c r="CJ14" i="1" a="1"/>
  <c r="CJ14" i="1" s="1"/>
  <c r="BT14" i="1" a="1"/>
  <c r="BT14" i="1" s="1"/>
  <c r="BU14" i="1" a="1"/>
  <c r="BU14" i="1" s="1"/>
  <c r="BP14" i="1" a="1"/>
  <c r="BP14" i="1" s="1"/>
  <c r="CP74" i="1"/>
  <c r="V74" i="1" s="1"/>
  <c r="CP68" i="1"/>
  <c r="V68" i="1" s="1"/>
  <c r="CP32" i="1"/>
  <c r="V32" i="1" s="1"/>
  <c r="CP62" i="1"/>
  <c r="V62" i="1" s="1"/>
  <c r="CP16" i="1"/>
  <c r="V16" i="1" s="1"/>
  <c r="CP53" i="1"/>
  <c r="V53" i="1" s="1"/>
  <c r="CP21" i="1"/>
  <c r="V21" i="1" s="1"/>
  <c r="CP72" i="1"/>
  <c r="V72" i="1" s="1"/>
  <c r="CP86" i="1"/>
  <c r="V86" i="1" s="1"/>
  <c r="CP46" i="1"/>
  <c r="V46" i="1" s="1"/>
  <c r="CP29" i="1"/>
  <c r="V29" i="1" s="1"/>
  <c r="BV66" i="1"/>
  <c r="Q66" i="1" s="1"/>
  <c r="CP67" i="1"/>
  <c r="V67" i="1" s="1"/>
  <c r="CP49" i="1"/>
  <c r="V49" i="1" s="1"/>
  <c r="CP50" i="1"/>
  <c r="V50" i="1" s="1"/>
  <c r="CP59" i="1"/>
  <c r="V59" i="1" s="1"/>
  <c r="CP37" i="1"/>
  <c r="V37" i="1" s="1"/>
  <c r="CP15" i="1"/>
  <c r="V15" i="1" s="1"/>
  <c r="BV90" i="1"/>
  <c r="Q90" i="1" s="1"/>
  <c r="CP45" i="1"/>
  <c r="V45" i="1" s="1"/>
  <c r="BV80" i="1"/>
  <c r="Q80" i="1" s="1"/>
  <c r="CP61" i="1"/>
  <c r="V61" i="1" s="1"/>
  <c r="BV39" i="1"/>
  <c r="Q39" i="1" s="1"/>
  <c r="CP110" i="1"/>
  <c r="V110" i="1" s="1"/>
  <c r="CP91" i="1"/>
  <c r="V91" i="1" s="1"/>
  <c r="CP88" i="1"/>
  <c r="V88" i="1" s="1"/>
  <c r="CP107" i="1"/>
  <c r="V107" i="1" s="1"/>
  <c r="BV43" i="1"/>
  <c r="Q43" i="1" s="1"/>
  <c r="BV86" i="1"/>
  <c r="Q86" i="1" s="1"/>
  <c r="CP106" i="1"/>
  <c r="V106" i="1" s="1"/>
  <c r="CP102" i="1"/>
  <c r="V102" i="1" s="1"/>
  <c r="CP85" i="1"/>
  <c r="V85" i="1" s="1"/>
  <c r="CP64" i="1"/>
  <c r="V64" i="1" s="1"/>
  <c r="CP23" i="1"/>
  <c r="V23" i="1" s="1"/>
  <c r="CP56" i="1"/>
  <c r="V56" i="1" s="1"/>
  <c r="CP54" i="1"/>
  <c r="V54" i="1" s="1"/>
  <c r="CP52" i="1"/>
  <c r="V52" i="1" s="1"/>
  <c r="CP26" i="1"/>
  <c r="V26" i="1" s="1"/>
  <c r="CP36" i="1"/>
  <c r="V36" i="1" s="1"/>
  <c r="CP69" i="1"/>
  <c r="V69" i="1" s="1"/>
  <c r="CP93" i="1"/>
  <c r="V93" i="1" s="1"/>
  <c r="CP19" i="1"/>
  <c r="V19" i="1" s="1"/>
  <c r="CP92" i="1"/>
  <c r="V92" i="1" s="1"/>
  <c r="CP94" i="1"/>
  <c r="V94" i="1" s="1"/>
  <c r="CP96" i="1"/>
  <c r="V96" i="1" s="1"/>
  <c r="CP28" i="1"/>
  <c r="V28" i="1" s="1"/>
  <c r="CP24" i="1"/>
  <c r="V24" i="1" s="1"/>
  <c r="CP18" i="1"/>
  <c r="V18" i="1" s="1"/>
  <c r="CP22" i="1"/>
  <c r="V22" i="1" s="1"/>
  <c r="CP97" i="1"/>
  <c r="V97" i="1" s="1"/>
  <c r="CP87" i="1"/>
  <c r="V87" i="1" s="1"/>
  <c r="CP41" i="1"/>
  <c r="V41" i="1" s="1"/>
  <c r="CP55" i="1"/>
  <c r="V55" i="1" s="1"/>
  <c r="CP80" i="1"/>
  <c r="V80" i="1" s="1"/>
  <c r="CP70" i="1"/>
  <c r="V70" i="1" s="1"/>
  <c r="CP65" i="1"/>
  <c r="V65" i="1" s="1"/>
  <c r="CP60" i="1"/>
  <c r="V60" i="1" s="1"/>
  <c r="CP51" i="1"/>
  <c r="V51" i="1" s="1"/>
  <c r="CP100" i="1"/>
  <c r="V100" i="1" s="1"/>
  <c r="CP38" i="1"/>
  <c r="V38" i="1" s="1"/>
  <c r="CP27" i="1"/>
  <c r="V27" i="1" s="1"/>
  <c r="CP39" i="1"/>
  <c r="V39" i="1" s="1"/>
  <c r="CP17" i="1"/>
  <c r="V17" i="1" s="1"/>
  <c r="CP84" i="1"/>
  <c r="V84" i="1" s="1"/>
  <c r="CP43" i="1"/>
  <c r="V43" i="1" s="1"/>
  <c r="CP63" i="1"/>
  <c r="V63" i="1" s="1"/>
  <c r="CP71" i="1"/>
  <c r="V71" i="1" s="1"/>
  <c r="CP81" i="1"/>
  <c r="V81" i="1" s="1"/>
  <c r="CP105" i="1"/>
  <c r="V105" i="1" s="1"/>
  <c r="CP109" i="1"/>
  <c r="V109" i="1" s="1"/>
  <c r="CP79" i="1"/>
  <c r="V79" i="1" s="1"/>
  <c r="CP20" i="1"/>
  <c r="V20" i="1" s="1"/>
  <c r="CP47" i="1"/>
  <c r="V47" i="1" s="1"/>
  <c r="CP48" i="1"/>
  <c r="V48" i="1" s="1"/>
  <c r="CP40" i="1"/>
  <c r="V40" i="1" s="1"/>
  <c r="CP89" i="1"/>
  <c r="V89" i="1" s="1"/>
  <c r="CP57" i="1"/>
  <c r="V57" i="1" s="1"/>
  <c r="CP111" i="1"/>
  <c r="V111" i="1" s="1"/>
  <c r="CP108" i="1"/>
  <c r="V108" i="1" s="1"/>
  <c r="CP73" i="1"/>
  <c r="V73" i="1" s="1"/>
  <c r="CP33" i="1"/>
  <c r="V33" i="1" s="1"/>
  <c r="CP66" i="1"/>
  <c r="V66" i="1" s="1"/>
  <c r="CP35" i="1"/>
  <c r="V35" i="1" s="1"/>
  <c r="CP90" i="1"/>
  <c r="V90" i="1" s="1"/>
  <c r="CP25" i="1"/>
  <c r="V25" i="1" s="1"/>
  <c r="CP44" i="1"/>
  <c r="V44" i="1" s="1"/>
  <c r="CP42" i="1"/>
  <c r="V42" i="1" s="1"/>
  <c r="CP103" i="1"/>
  <c r="V103" i="1" s="1"/>
  <c r="CP76" i="1"/>
  <c r="V76" i="1" s="1"/>
  <c r="CP30" i="1"/>
  <c r="V30" i="1" s="1"/>
  <c r="CP31" i="1"/>
  <c r="V31" i="1" s="1"/>
  <c r="CP82" i="1"/>
  <c r="V82" i="1" s="1"/>
  <c r="CP95" i="1"/>
  <c r="V95" i="1" s="1"/>
  <c r="CP58" i="1"/>
  <c r="V58" i="1" s="1"/>
  <c r="CP104" i="1"/>
  <c r="V104" i="1" s="1"/>
  <c r="CP83" i="1"/>
  <c r="V83" i="1" s="1"/>
  <c r="CP99" i="1"/>
  <c r="V99" i="1" s="1"/>
  <c r="CP101" i="1"/>
  <c r="V101" i="1" s="1"/>
  <c r="CP75" i="1"/>
  <c r="V75" i="1" s="1"/>
  <c r="CP98" i="1"/>
  <c r="V98" i="1" s="1"/>
  <c r="CP78" i="1"/>
  <c r="V78" i="1" s="1"/>
  <c r="CP34" i="1"/>
  <c r="V34" i="1" s="1"/>
  <c r="BV93" i="1"/>
  <c r="Q93" i="1" s="1"/>
  <c r="BV75" i="1"/>
  <c r="Q75" i="1" s="1"/>
  <c r="BV31" i="1"/>
  <c r="Q31" i="1" s="1"/>
  <c r="BV94" i="1"/>
  <c r="Q94" i="1" s="1"/>
  <c r="AB94" i="1" s="1"/>
  <c r="BV22" i="1"/>
  <c r="Q22" i="1" s="1"/>
  <c r="BV42" i="1"/>
  <c r="Q42" i="1" s="1"/>
  <c r="BV18" i="1"/>
  <c r="Q18" i="1" s="1"/>
  <c r="BV89" i="1"/>
  <c r="Q89" i="1" s="1"/>
  <c r="AB89" i="1" s="1"/>
  <c r="BV71" i="1"/>
  <c r="Q71" i="1" s="1"/>
  <c r="BV35" i="1"/>
  <c r="Q35" i="1" s="1"/>
  <c r="BV24" i="1"/>
  <c r="Q24" i="1" s="1"/>
  <c r="BV77" i="1"/>
  <c r="Q77" i="1" s="1"/>
  <c r="AB77" i="1" s="1"/>
  <c r="BV87" i="1"/>
  <c r="Q87" i="1" s="1"/>
  <c r="AB87" i="1" s="1"/>
  <c r="BV62" i="1"/>
  <c r="Q62" i="1" s="1"/>
  <c r="AB62" i="1" s="1"/>
  <c r="BV70" i="1"/>
  <c r="Q70" i="1" s="1"/>
  <c r="BV109" i="1"/>
  <c r="Q109" i="1" s="1"/>
  <c r="AB109" i="1" s="1"/>
  <c r="BV36" i="1"/>
  <c r="Q36" i="1" s="1"/>
  <c r="BV84" i="1"/>
  <c r="Q84" i="1" s="1"/>
  <c r="BV20" i="1"/>
  <c r="Q20" i="1" s="1"/>
  <c r="BV78" i="1"/>
  <c r="Q78" i="1" s="1"/>
  <c r="BV102" i="1"/>
  <c r="Q102" i="1" s="1"/>
  <c r="BV111" i="1"/>
  <c r="Q111" i="1" s="1"/>
  <c r="BV16" i="1"/>
  <c r="Q16" i="1" s="1"/>
  <c r="AB16" i="1" s="1"/>
  <c r="BV74" i="1"/>
  <c r="Q74" i="1" s="1"/>
  <c r="BV88" i="1"/>
  <c r="Q88" i="1" s="1"/>
  <c r="BV27" i="1"/>
  <c r="Q27" i="1" s="1"/>
  <c r="BV97" i="1"/>
  <c r="Q97" i="1" s="1"/>
  <c r="BV28" i="1"/>
  <c r="Q28" i="1" s="1"/>
  <c r="BV58" i="1"/>
  <c r="Q58" i="1" s="1"/>
  <c r="BV21" i="1"/>
  <c r="Q21" i="1" s="1"/>
  <c r="BV23" i="1"/>
  <c r="Q23" i="1" s="1"/>
  <c r="BV30" i="1"/>
  <c r="Q30" i="1" s="1"/>
  <c r="BV33" i="1"/>
  <c r="Q33" i="1" s="1"/>
  <c r="BV54" i="1"/>
  <c r="Q54" i="1" s="1"/>
  <c r="AB54" i="1" s="1"/>
  <c r="BV79" i="1"/>
  <c r="Q79" i="1" s="1"/>
  <c r="BV47" i="1"/>
  <c r="Q47" i="1" s="1"/>
  <c r="BV83" i="1"/>
  <c r="Q83" i="1" s="1"/>
  <c r="BV26" i="1"/>
  <c r="Q26" i="1" s="1"/>
  <c r="BV40" i="1"/>
  <c r="Q40" i="1" s="1"/>
  <c r="BV68" i="1"/>
  <c r="Q68" i="1" s="1"/>
  <c r="BV106" i="1"/>
  <c r="Q106" i="1" s="1"/>
  <c r="BV52" i="1"/>
  <c r="Q52" i="1" s="1"/>
  <c r="BV63" i="1"/>
  <c r="Q63" i="1" s="1"/>
  <c r="BV108" i="1"/>
  <c r="Q108" i="1" s="1"/>
  <c r="BV101" i="1"/>
  <c r="Q101" i="1" s="1"/>
  <c r="BV73" i="1"/>
  <c r="Q73" i="1" s="1"/>
  <c r="BV34" i="1"/>
  <c r="Q34" i="1" s="1"/>
  <c r="BV45" i="1"/>
  <c r="Q45" i="1" s="1"/>
  <c r="AB45" i="1" s="1"/>
  <c r="BV105" i="1"/>
  <c r="Q105" i="1" s="1"/>
  <c r="BV92" i="1"/>
  <c r="Q92" i="1" s="1"/>
  <c r="BV51" i="1"/>
  <c r="Q51" i="1" s="1"/>
  <c r="BV37" i="1"/>
  <c r="Q37" i="1" s="1"/>
  <c r="BV41" i="1"/>
  <c r="Q41" i="1" s="1"/>
  <c r="AB41" i="1" s="1"/>
  <c r="BV25" i="1"/>
  <c r="Q25" i="1" s="1"/>
  <c r="BV59" i="1"/>
  <c r="Q59" i="1" s="1"/>
  <c r="BV100" i="1"/>
  <c r="Q100" i="1" s="1"/>
  <c r="BV15" i="1"/>
  <c r="Q15" i="1" s="1"/>
  <c r="BV99" i="1"/>
  <c r="Q99" i="1" s="1"/>
  <c r="BV72" i="1"/>
  <c r="Q72" i="1" s="1"/>
  <c r="BV56" i="1"/>
  <c r="Q56" i="1" s="1"/>
  <c r="BV85" i="1"/>
  <c r="Q85" i="1" s="1"/>
  <c r="BV46" i="1"/>
  <c r="Q46" i="1" s="1"/>
  <c r="BV61" i="1"/>
  <c r="Q61" i="1" s="1"/>
  <c r="BV107" i="1"/>
  <c r="Q107" i="1" s="1"/>
  <c r="BV95" i="1"/>
  <c r="Q95" i="1" s="1"/>
  <c r="BV67" i="1"/>
  <c r="Q67" i="1" s="1"/>
  <c r="BV32" i="1"/>
  <c r="Q32" i="1" s="1"/>
  <c r="BV65" i="1"/>
  <c r="Q65" i="1" s="1"/>
  <c r="BV55" i="1"/>
  <c r="Q55" i="1" s="1"/>
  <c r="BV98" i="1"/>
  <c r="Q98" i="1" s="1"/>
  <c r="AB98" i="1" s="1"/>
  <c r="BV19" i="1"/>
  <c r="Q19" i="1" s="1"/>
  <c r="BV50" i="1"/>
  <c r="Q50" i="1" s="1"/>
  <c r="BV104" i="1"/>
  <c r="Q104" i="1" s="1"/>
  <c r="AB104" i="1" s="1"/>
  <c r="BV53" i="1"/>
  <c r="Q53" i="1" s="1"/>
  <c r="AB53" i="1" s="1"/>
  <c r="BV69" i="1"/>
  <c r="Q69" i="1" s="1"/>
  <c r="BV48" i="1"/>
  <c r="Q48" i="1" s="1"/>
  <c r="AB48" i="1" s="1"/>
  <c r="BV60" i="1"/>
  <c r="Q60" i="1" s="1"/>
  <c r="BV110" i="1"/>
  <c r="Q110" i="1" s="1"/>
  <c r="BV91" i="1"/>
  <c r="Q91" i="1" s="1"/>
  <c r="BV81" i="1"/>
  <c r="Q81" i="1" s="1"/>
  <c r="AB81" i="1" s="1"/>
  <c r="BV76" i="1"/>
  <c r="Q76" i="1" s="1"/>
  <c r="BV49" i="1"/>
  <c r="Q49" i="1" s="1"/>
  <c r="AB49" i="1" s="1"/>
  <c r="BV29" i="1"/>
  <c r="Q29" i="1" s="1"/>
  <c r="BV103" i="1"/>
  <c r="Q103" i="1" s="1"/>
  <c r="BV38" i="1"/>
  <c r="Q38" i="1" s="1"/>
  <c r="AB38" i="1" s="1"/>
  <c r="BV44" i="1"/>
  <c r="Q44" i="1" s="1"/>
  <c r="BV57" i="1"/>
  <c r="Q57" i="1" s="1"/>
  <c r="AB57" i="1" s="1"/>
  <c r="BV96" i="1"/>
  <c r="Q96" i="1" s="1"/>
  <c r="BV64" i="1"/>
  <c r="Q64" i="1" s="1"/>
  <c r="BV17" i="1"/>
  <c r="Q17" i="1" s="1"/>
  <c r="BV82" i="1"/>
  <c r="Q82" i="1" s="1"/>
  <c r="AB82" i="1" s="1"/>
  <c r="Z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AB15" i="1" l="1"/>
  <c r="AB88" i="1"/>
  <c r="AB36" i="1"/>
  <c r="AB106" i="1"/>
  <c r="AB39" i="1"/>
  <c r="AB84" i="1"/>
  <c r="AB68" i="1"/>
  <c r="AB30" i="1"/>
  <c r="AB19" i="1"/>
  <c r="AB23" i="1"/>
  <c r="AB46" i="1"/>
  <c r="AB101" i="1"/>
  <c r="AB51" i="1"/>
  <c r="AB63" i="1"/>
  <c r="AB97" i="1"/>
  <c r="AB61" i="1"/>
  <c r="AB34" i="1"/>
  <c r="AB44" i="1"/>
  <c r="AB58" i="1"/>
  <c r="AB28" i="1"/>
  <c r="AB69" i="1"/>
  <c r="AB72" i="1"/>
  <c r="AB20" i="1"/>
  <c r="AB29" i="1"/>
  <c r="AB32" i="1"/>
  <c r="AB92" i="1"/>
  <c r="AB35" i="1"/>
  <c r="AB75" i="1"/>
  <c r="AB71" i="1"/>
  <c r="AB107" i="1"/>
  <c r="AB100" i="1"/>
  <c r="AB40" i="1"/>
  <c r="AB56" i="1"/>
  <c r="AB31" i="1"/>
  <c r="AB79" i="1"/>
  <c r="AB24" i="1"/>
  <c r="AB80" i="1"/>
  <c r="AB76" i="1"/>
  <c r="AB74" i="1"/>
  <c r="AB64" i="1"/>
  <c r="AB110" i="1"/>
  <c r="AB26" i="1"/>
  <c r="AB59" i="1"/>
  <c r="AB70" i="1"/>
  <c r="AB18" i="1"/>
  <c r="AB86" i="1"/>
  <c r="AB85" i="1"/>
  <c r="AB103" i="1"/>
  <c r="AB65" i="1"/>
  <c r="AB37" i="1"/>
  <c r="AB17" i="1"/>
  <c r="AB67" i="1"/>
  <c r="AB99" i="1"/>
  <c r="AB52" i="1"/>
  <c r="AB27" i="1"/>
  <c r="AB95" i="1"/>
  <c r="AB105" i="1"/>
  <c r="AB33" i="1"/>
  <c r="AB93" i="1"/>
  <c r="AB96" i="1"/>
  <c r="AB50" i="1"/>
  <c r="AB25" i="1"/>
  <c r="AB73" i="1"/>
  <c r="AB21" i="1"/>
  <c r="AB111" i="1"/>
  <c r="AB42" i="1"/>
  <c r="AB43" i="1"/>
  <c r="AB66" i="1"/>
  <c r="AB91" i="1"/>
  <c r="AB60" i="1"/>
  <c r="AB55" i="1"/>
  <c r="AB83" i="1"/>
  <c r="AB102" i="1"/>
  <c r="AB22" i="1"/>
  <c r="AB90" i="1"/>
  <c r="AB108" i="1"/>
  <c r="AB47" i="1"/>
  <c r="AB78" i="1"/>
  <c r="CP14" i="1"/>
  <c r="V14" i="1" s="1"/>
  <c r="BV14" i="1"/>
  <c r="Q14" i="1" s="1"/>
  <c r="B1" i="1"/>
  <c r="E2" i="3" a="1"/>
  <c r="E2" i="3" s="1"/>
  <c r="U10" i="1" l="1" a="1"/>
  <c r="U10" i="1" s="1"/>
  <c r="T10" i="1" a="1"/>
  <c r="T10" i="1" s="1"/>
  <c r="P10" i="1" a="1"/>
  <c r="P10" i="1" s="1"/>
  <c r="O10" i="1" a="1"/>
  <c r="O10" i="1" s="1"/>
  <c r="AB14" i="1"/>
  <c r="M13" i="1" a="1"/>
  <c r="M13" i="1" s="1"/>
  <c r="S10" i="1" a="1"/>
  <c r="S10" i="1" s="1"/>
  <c r="M12" i="1" a="1"/>
  <c r="M12" i="1" s="1"/>
  <c r="M14" i="1" a="1"/>
  <c r="M14" i="1" s="1"/>
  <c r="N10" i="1" a="1"/>
  <c r="N10" i="1" s="1"/>
  <c r="R13" i="1" a="1"/>
  <c r="R13" i="1" s="1"/>
  <c r="R14" i="1" a="1"/>
  <c r="R14" i="1" s="1"/>
  <c r="R12" i="1" a="1"/>
  <c r="R12" i="1" s="1"/>
  <c r="AA112" i="1" a="1"/>
  <c r="AA112" i="1" s="1"/>
  <c r="R10" i="1" a="1"/>
  <c r="R10" i="1" s="1"/>
  <c r="L10" i="1" a="1"/>
  <c r="L10" i="1" s="1"/>
  <c r="G10" i="1" a="1"/>
  <c r="G10" i="1" s="1"/>
  <c r="G9" i="1" a="1"/>
  <c r="G9" i="1" s="1"/>
  <c r="M10" i="1" a="1"/>
  <c r="M10" i="1" s="1"/>
  <c r="V10" i="1" a="1"/>
  <c r="V10" i="1" s="1"/>
  <c r="H10" i="1" a="1"/>
  <c r="H10" i="1" s="1"/>
  <c r="K10" i="1" a="1"/>
  <c r="K10" i="1" s="1"/>
  <c r="I10" i="1" a="1"/>
  <c r="I10" i="1" s="1"/>
  <c r="M9" i="1" a="1"/>
  <c r="M9" i="1" s="1"/>
  <c r="Z10" i="1" a="1"/>
  <c r="Z10" i="1" s="1"/>
  <c r="F10" i="1" a="1"/>
  <c r="F10" i="1" s="1"/>
  <c r="C5" i="1" a="1"/>
  <c r="C5" i="1" s="1"/>
  <c r="C4" i="1" a="1"/>
  <c r="C4" i="1" s="1"/>
  <c r="AA10" i="1" a="1"/>
  <c r="AA10" i="1" s="1"/>
  <c r="AA9" i="1" a="1"/>
  <c r="AA9" i="1" s="1"/>
  <c r="E10" i="1" a="1"/>
  <c r="E10" i="1" s="1"/>
  <c r="D10" i="1" a="1"/>
  <c r="D10" i="1" s="1"/>
  <c r="R9" i="1" a="1"/>
  <c r="R9" i="1" s="1"/>
  <c r="C10" i="1" a="1"/>
  <c r="C10" i="1" s="1"/>
  <c r="C6" i="1" a="1"/>
  <c r="C6" i="1" s="1"/>
  <c r="C7" i="1" a="1"/>
  <c r="C7" i="1" s="1"/>
  <c r="AB10" i="1" a="1"/>
  <c r="AB10" i="1" s="1"/>
  <c r="C2" i="1" a="1"/>
  <c r="C2" i="1" s="1"/>
  <c r="W9" i="1" a="1"/>
  <c r="W9" i="1" s="1"/>
  <c r="X10" i="1" a="1"/>
  <c r="X10" i="1" s="1"/>
  <c r="Y10" i="1" a="1"/>
  <c r="Y10" i="1" s="1"/>
  <c r="Q10" i="1" a="1"/>
  <c r="Q10" i="1" s="1"/>
  <c r="C9" i="1" a="1"/>
  <c r="C9" i="1" s="1"/>
  <c r="BK12" i="1" l="1"/>
  <c r="BG12" i="1"/>
  <c r="BH12" i="1" s="1" a="1"/>
  <c r="BH12" i="1" s="1"/>
  <c r="BS12" i="1"/>
  <c r="BO12" i="1"/>
  <c r="BP12" i="1" s="1" a="1"/>
  <c r="BP12" i="1" s="1"/>
  <c r="BG13" i="1"/>
  <c r="BH13" i="1" s="1" a="1"/>
  <c r="BH13" i="1" s="1"/>
  <c r="BS13" i="1"/>
  <c r="BO13" i="1"/>
  <c r="BK13" i="1"/>
  <c r="BL13" i="1" s="1" a="1"/>
  <c r="BL13" i="1" s="1"/>
  <c r="CA12" i="1"/>
  <c r="CB12" i="1" s="1" a="1"/>
  <c r="CB12" i="1" s="1"/>
  <c r="CI12" i="1"/>
  <c r="CE12" i="1"/>
  <c r="CM12" i="1"/>
  <c r="CE13" i="1"/>
  <c r="CA13" i="1"/>
  <c r="CB13" i="1" s="1" a="1"/>
  <c r="CB13" i="1" s="1"/>
  <c r="CI13" i="1"/>
  <c r="CJ13" i="1" s="1" a="1"/>
  <c r="CJ13" i="1" s="1"/>
  <c r="CM13" i="1"/>
  <c r="BL12" i="1" l="1" a="1"/>
  <c r="BL12" i="1" s="1"/>
  <c r="CJ12" i="1" a="1"/>
  <c r="CJ12" i="1" s="1"/>
  <c r="CF12" i="1" a="1"/>
  <c r="CF12" i="1" s="1"/>
  <c r="BP13" i="1" a="1"/>
  <c r="BP13" i="1" s="1"/>
  <c r="CO13" i="1" a="1"/>
  <c r="CO13" i="1" s="1"/>
  <c r="CN13" i="1" a="1"/>
  <c r="CN13" i="1" s="1"/>
  <c r="CF13" i="1" a="1"/>
  <c r="CF13" i="1" s="1"/>
  <c r="CN12" i="1" a="1"/>
  <c r="CN12" i="1" s="1"/>
  <c r="CO12" i="1" a="1"/>
  <c r="CO12" i="1" s="1"/>
  <c r="BT13" i="1" a="1"/>
  <c r="BT13" i="1" s="1"/>
  <c r="BU13" i="1" a="1"/>
  <c r="BU13" i="1" s="1"/>
  <c r="BU12" i="1" a="1"/>
  <c r="BU12" i="1" s="1"/>
  <c r="BT12" i="1" a="1"/>
  <c r="BT12" i="1" s="1"/>
  <c r="CP13" i="1" l="1"/>
  <c r="V13" i="1" s="1"/>
  <c r="BV13" i="1"/>
  <c r="Q13" i="1" s="1"/>
  <c r="CP12" i="1"/>
  <c r="V12" i="1" s="1"/>
  <c r="BV12" i="1"/>
  <c r="Q12" i="1" s="1"/>
  <c r="AB12" i="1" l="1"/>
  <c r="AB13" i="1"/>
  <c r="AB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<sst xmlns="http://schemas.openxmlformats.org/spreadsheetml/2006/main" count="12721" uniqueCount="4668">
  <si>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</si>
  <si>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</si>
  <si>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</si>
  <si>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</si>
  <si>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</si>
  <si>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</si>
  <si>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</si>
  <si>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</si>
  <si>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</si>
  <si>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</si>
  <si>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</si>
  <si>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</si>
  <si>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</si>
  <si>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</si>
  <si>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</si>
  <si>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</si>
  <si>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</si>
  <si>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</si>
  <si>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</si>
  <si>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</si>
  <si>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</si>
  <si>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</si>
  <si>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</si>
  <si>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</si>
  <si>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</si>
  <si>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</si>
  <si>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</si>
  <si>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</si>
  <si>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</si>
  <si>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</si>
  <si>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</si>
  <si>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</si>
  <si>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</si>
  <si>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</si>
  <si>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</si>
  <si>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</si>
  <si>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</si>
  <si>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</si>
  <si>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</si>
  <si>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</si>
  <si>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</si>
  <si>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</si>
  <si>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</si>
  <si>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</si>
  <si>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</si>
  <si>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</si>
  <si>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</si>
  <si>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</si>
  <si>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</si>
  <si>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</si>
  <si>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</si>
  <si>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</si>
  <si>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</si>
  <si>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</si>
  <si>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</si>
  <si>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</si>
  <si>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</si>
  <si>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</si>
  <si>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</si>
  <si>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</si>
  <si>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</si>
  <si>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</si>
  <si>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</si>
  <si>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</si>
  <si>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</si>
  <si>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</si>
  <si>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</si>
  <si>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</si>
  <si>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</si>
  <si>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</si>
  <si>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</si>
  <si>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</si>
  <si>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</si>
  <si>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</si>
  <si>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</si>
  <si>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</si>
  <si>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</si>
  <si>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</si>
  <si>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</si>
  <si>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</si>
  <si>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</si>
  <si>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</si>
  <si>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</si>
  <si>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</si>
  <si>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</si>
  <si>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</si>
  <si>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</si>
  <si>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</si>
  <si>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</si>
  <si>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</si>
  <si>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</si>
  <si>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</si>
  <si>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</si>
  <si>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</si>
  <si>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</si>
  <si>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</si>
  <si>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</si>
  <si>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</si>
  <si>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</si>
  <si>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</si>
  <si>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</si>
  <si>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</si>
  <si>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</si>
  <si>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</si>
  <si>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</si>
  <si>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</si>
  <si>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</si>
  <si>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</si>
  <si>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</si>
  <si>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</si>
  <si>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</si>
  <si>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</si>
  <si>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</si>
  <si>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</si>
  <si>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</si>
  <si>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</si>
  <si>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</si>
  <si>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</si>
  <si>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</si>
  <si>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</si>
  <si>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</si>
  <si>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</si>
  <si>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</si>
  <si>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</si>
  <si>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</si>
  <si>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</si>
  <si>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</si>
  <si>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</si>
  <si>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</si>
  <si>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</si>
  <si>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</si>
  <si>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</si>
  <si>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</si>
  <si>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</si>
  <si>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</si>
  <si>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</si>
  <si>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</si>
  <si>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</si>
  <si>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</si>
  <si>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</si>
  <si>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</si>
  <si>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</si>
  <si>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</si>
  <si>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</si>
  <si>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</si>
  <si>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</si>
  <si>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</si>
  <si>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</si>
  <si>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</si>
  <si>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</si>
  <si>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</si>
  <si>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</si>
  <si>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</si>
  <si>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</si>
  <si>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</si>
  <si>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</si>
  <si>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</si>
  <si>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</si>
  <si>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</si>
  <si>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</si>
  <si>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</si>
  <si>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</si>
  <si>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</si>
  <si>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</si>
  <si>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</si>
  <si>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</si>
  <si>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</si>
  <si>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</si>
  <si>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</si>
  <si>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</si>
  <si>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</si>
  <si>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</si>
  <si>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</si>
  <si>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</si>
  <si>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</si>
  <si>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</si>
  <si>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</si>
  <si>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</si>
  <si>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</si>
  <si>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</si>
  <si>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</si>
  <si>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</si>
  <si>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</si>
  <si>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</si>
  <si>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</si>
  <si>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</si>
  <si>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</si>
  <si>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</si>
  <si>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</si>
  <si>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</si>
  <si>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</si>
  <si>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</si>
  <si>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</si>
  <si>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</si>
  <si>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</si>
  <si>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</si>
  <si>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</si>
  <si>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</si>
  <si>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</si>
  <si>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</si>
  <si>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</si>
  <si>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</si>
  <si>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</si>
  <si>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</si>
  <si>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</si>
  <si>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</si>
  <si>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</si>
  <si>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</si>
  <si>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</si>
  <si>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</si>
  <si>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</si>
  <si>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</si>
  <si>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</si>
  <si>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</si>
  <si>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</si>
  <si>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</si>
  <si>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</si>
  <si>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</si>
  <si>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</si>
  <si>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</si>
  <si>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</si>
  <si>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</si>
  <si>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</si>
  <si>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</si>
  <si>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</si>
  <si>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</si>
  <si>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</si>
  <si>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</si>
  <si>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</si>
  <si>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</si>
  <si>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</si>
  <si>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</si>
  <si>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</si>
  <si>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</si>
  <si>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</si>
  <si>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</si>
  <si>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</si>
  <si>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</si>
  <si>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</si>
  <si>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</si>
  <si>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</si>
  <si>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</si>
  <si>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</si>
  <si>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</si>
  <si>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</si>
  <si>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</si>
  <si>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</si>
  <si>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</si>
  <si>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</si>
  <si>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</si>
  <si>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</si>
  <si>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</si>
  <si>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</si>
  <si>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</si>
  <si>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</si>
  <si>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</si>
  <si>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</si>
  <si>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</si>
  <si>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</si>
  <si>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</si>
  <si>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</si>
  <si>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</si>
  <si>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</si>
  <si>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</si>
  <si>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</si>
  <si>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</si>
  <si>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</si>
  <si>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</si>
  <si>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</si>
  <si>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</si>
  <si>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</si>
  <si>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</si>
  <si>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</si>
  <si>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</si>
  <si>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</si>
  <si>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</si>
  <si>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</si>
  <si>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</si>
  <si>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</si>
  <si>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</si>
  <si>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</si>
  <si>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</si>
  <si>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</si>
  <si>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</si>
  <si>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</si>
  <si>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</si>
  <si>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</si>
  <si>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</si>
  <si>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</si>
  <si>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</si>
  <si>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</si>
  <si>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</si>
  <si>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</si>
  <si>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</si>
  <si>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</si>
  <si>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</si>
  <si>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</si>
  <si>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</si>
  <si>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</si>
  <si>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</si>
  <si>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</si>
  <si>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</si>
  <si>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</si>
  <si>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</si>
  <si>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</si>
  <si>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</si>
  <si>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</si>
  <si>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</si>
  <si>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</si>
  <si>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</si>
  <si>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</si>
  <si>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</si>
  <si>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</si>
  <si>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</si>
  <si>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</si>
  <si>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</si>
  <si>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</si>
  <si>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</si>
  <si>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</si>
  <si>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</si>
  <si>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</si>
  <si>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</si>
  <si>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</si>
  <si>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</si>
  <si>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</si>
  <si>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</si>
  <si>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</si>
  <si>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</si>
  <si>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</si>
  <si>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</si>
  <si>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</si>
  <si>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</si>
  <si>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</si>
  <si>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</si>
  <si>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</si>
  <si>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</si>
  <si>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</si>
  <si>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</si>
  <si>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</si>
  <si>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</si>
  <si>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</si>
  <si>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</si>
  <si>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</si>
  <si>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</si>
  <si>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</si>
  <si>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</si>
  <si>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</si>
  <si>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</si>
  <si>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</si>
  <si>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</si>
  <si>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</si>
  <si>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</si>
  <si>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</si>
  <si>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</si>
  <si>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</si>
  <si>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</si>
  <si>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</si>
  <si>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</si>
  <si>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</si>
  <si>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</si>
  <si>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</si>
  <si>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</si>
  <si>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</si>
  <si>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</si>
  <si>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</si>
  <si>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</si>
  <si>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</si>
  <si>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</si>
  <si>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</si>
  <si>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</si>
  <si>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</si>
  <si>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</si>
  <si>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</si>
  <si>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</si>
  <si>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</si>
  <si>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</si>
  <si>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</si>
  <si>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</si>
  <si>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</si>
  <si>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</si>
  <si>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</si>
  <si>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</si>
  <si>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</si>
  <si>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</si>
  <si>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</si>
  <si>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</si>
  <si>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</si>
  <si>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</si>
  <si>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</si>
  <si>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</si>
  <si>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</si>
  <si>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</si>
  <si>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</si>
  <si>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</si>
  <si>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</si>
  <si>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</si>
  <si>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</si>
  <si>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</si>
  <si>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</si>
  <si>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</si>
  <si>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</si>
  <si>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</si>
  <si>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</si>
  <si>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</si>
  <si>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</si>
  <si>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</si>
  <si>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</si>
  <si>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</si>
  <si>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</si>
  <si>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</si>
  <si>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</si>
  <si>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</si>
  <si>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</si>
  <si>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</si>
  <si>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</si>
  <si>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</si>
  <si>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</si>
  <si>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</si>
  <si>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</si>
  <si>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</si>
  <si>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</si>
  <si>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</si>
  <si>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</si>
  <si>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</si>
  <si>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</si>
  <si>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</si>
  <si>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</si>
  <si>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</si>
  <si>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</si>
  <si>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</si>
  <si>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</si>
  <si>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</si>
  <si>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</si>
  <si>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</si>
  <si>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</si>
  <si>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</si>
  <si>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</si>
  <si>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</si>
  <si>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</si>
  <si>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</si>
  <si>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</si>
  <si>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</si>
  <si>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</si>
  <si>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</si>
  <si>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</si>
  <si>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</si>
  <si>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</si>
  <si>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</si>
  <si>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</si>
  <si>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</si>
  <si>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</si>
  <si>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</si>
  <si>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</si>
  <si>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</si>
  <si>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</si>
  <si>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</si>
  <si>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</si>
  <si>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</si>
  <si>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</si>
  <si>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</si>
  <si>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</si>
  <si>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</si>
  <si>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</si>
  <si>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</si>
  <si>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</si>
  <si>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</si>
  <si>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</si>
  <si>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</si>
  <si>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</si>
  <si>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</si>
  <si>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</si>
  <si>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</si>
  <si>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</si>
  <si>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</si>
  <si>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</si>
  <si>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</si>
  <si>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</si>
  <si>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</si>
  <si>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</si>
  <si>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</si>
  <si>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</si>
  <si>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</si>
  <si>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</si>
  <si>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</si>
  <si>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</si>
  <si>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</si>
  <si>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</si>
  <si>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</si>
  <si>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</si>
  <si>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</si>
  <si>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</si>
  <si>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</si>
  <si>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</si>
  <si>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</si>
  <si>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</si>
  <si>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</si>
  <si>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</si>
  <si>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</si>
  <si>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</si>
  <si>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</si>
  <si>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</si>
  <si>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</si>
  <si>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</si>
  <si>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</si>
  <si>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</si>
  <si>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</si>
  <si>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</si>
  <si>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</si>
  <si>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</si>
  <si>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</si>
  <si>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</si>
  <si>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</si>
  <si>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</si>
  <si>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</si>
  <si>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</si>
  <si>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</si>
  <si>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</si>
  <si>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</si>
  <si>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</si>
  <si>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</si>
  <si>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</si>
  <si>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</si>
  <si>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</si>
  <si>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</si>
  <si>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</si>
  <si>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</si>
  <si>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</si>
  <si>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</si>
  <si>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</si>
  <si>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</si>
  <si>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</si>
  <si>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</si>
  <si>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</si>
  <si>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</si>
  <si>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</si>
  <si>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</si>
  <si>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</si>
  <si>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</si>
  <si>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</si>
  <si>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</si>
  <si>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</si>
  <si>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</si>
  <si>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</si>
  <si>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</si>
  <si>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</si>
  <si>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</si>
  <si>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</si>
  <si>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</si>
  <si>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</si>
  <si>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</si>
  <si>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</si>
  <si>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</si>
  <si>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</si>
  <si>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</si>
  <si>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</si>
  <si>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</si>
  <si>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</si>
  <si>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</si>
  <si>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</si>
  <si>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</si>
  <si>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</si>
  <si>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</si>
  <si>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</si>
  <si>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</si>
  <si>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</si>
  <si>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</si>
  <si>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</si>
  <si>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</si>
  <si>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</si>
  <si>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</si>
  <si>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</si>
  <si>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</si>
  <si>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</si>
  <si>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</si>
  <si>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</si>
  <si>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</si>
  <si>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</si>
  <si>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</si>
  <si>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</si>
  <si>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</si>
  <si>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</si>
  <si>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</si>
  <si>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</si>
  <si>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</si>
  <si>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</si>
  <si>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</si>
  <si>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</si>
  <si>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</si>
  <si>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</si>
  <si>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</si>
  <si>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</si>
  <si>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</si>
  <si>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</si>
  <si>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</si>
  <si>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</si>
  <si>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</si>
  <si>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</si>
  <si>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</si>
  <si>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</si>
  <si>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</si>
  <si>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</si>
  <si>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</si>
  <si>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</si>
  <si>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</si>
  <si>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</si>
  <si>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</si>
  <si>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</si>
  <si>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</si>
  <si>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</si>
  <si>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</si>
  <si>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</si>
  <si>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</si>
  <si>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</si>
  <si>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</si>
  <si>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</si>
  <si>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</si>
  <si>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</si>
  <si>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</si>
  <si>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</si>
  <si>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</si>
  <si>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</si>
  <si>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</si>
  <si>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</si>
  <si>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</si>
  <si>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</si>
  <si>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</si>
  <si>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</si>
  <si>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</si>
  <si>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</si>
  <si>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</si>
  <si>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</si>
  <si>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</si>
  <si>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</si>
  <si>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</si>
  <si>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</si>
  <si>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</si>
  <si>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</si>
  <si>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</si>
  <si>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</si>
  <si>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</si>
  <si>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</si>
  <si>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</si>
  <si>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</si>
  <si>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</si>
  <si>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</si>
  <si>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</si>
  <si>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</si>
  <si>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</si>
  <si>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</si>
  <si>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</si>
  <si>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</si>
  <si>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</si>
  <si>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</si>
  <si>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</si>
  <si>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</si>
  <si>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</si>
  <si>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</si>
  <si>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</si>
  <si>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</si>
  <si>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</si>
  <si>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</si>
  <si>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</si>
  <si>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</si>
  <si>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</si>
  <si>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</si>
  <si>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</si>
  <si>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</si>
  <si>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</si>
  <si>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</si>
  <si>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</si>
  <si>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</si>
  <si>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</si>
  <si>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</si>
  <si>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</si>
  <si>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</si>
  <si>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</si>
  <si>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</si>
  <si>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</si>
  <si>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</si>
  <si>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</si>
  <si>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</si>
  <si>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</si>
  <si>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</si>
  <si>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</si>
  <si>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</si>
  <si>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</si>
  <si>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</si>
  <si>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</si>
  <si>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</si>
  <si>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</si>
  <si>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</si>
  <si>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</si>
  <si>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</si>
  <si>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</si>
  <si>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</si>
  <si>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</si>
  <si>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</si>
  <si>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</si>
  <si>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</si>
  <si>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</si>
  <si>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</si>
  <si>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</si>
  <si>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</si>
  <si>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</si>
  <si>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</si>
  <si>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</si>
  <si>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</si>
  <si>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</si>
  <si>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</si>
  <si>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</si>
  <si>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</si>
  <si>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</si>
  <si>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</si>
  <si>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</si>
  <si>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</si>
  <si>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</si>
  <si>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</si>
  <si>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</si>
  <si>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</si>
  <si>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</si>
  <si>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</si>
  <si>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</si>
  <si>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</si>
  <si>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</si>
  <si>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</si>
  <si>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</si>
  <si>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</si>
  <si>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</si>
  <si>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</si>
  <si>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</si>
  <si>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</si>
  <si>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</si>
  <si>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</si>
  <si>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</si>
  <si>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</si>
  <si>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</si>
  <si>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</si>
  <si>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</si>
  <si>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</si>
  <si>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</si>
  <si>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</si>
  <si>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</si>
  <si>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</si>
  <si>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</si>
  <si>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</si>
  <si>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</si>
  <si>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</si>
  <si>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</si>
  <si>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</si>
  <si>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</si>
  <si>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</si>
  <si>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</si>
  <si>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</si>
  <si>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</si>
  <si>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</si>
  <si>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</si>
  <si>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</si>
  <si>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</si>
  <si>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</si>
  <si>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</si>
  <si>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</si>
  <si>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</si>
  <si>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</si>
  <si>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</si>
  <si>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</si>
  <si>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</si>
  <si>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</si>
  <si>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</si>
  <si>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</si>
  <si>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</si>
  <si>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</si>
  <si>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</si>
  <si>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</si>
  <si>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</si>
  <si>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</si>
  <si>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</si>
  <si>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</si>
  <si>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</si>
  <si>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</si>
  <si>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</si>
  <si>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</si>
  <si>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</si>
  <si>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</si>
  <si>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</si>
  <si>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</si>
  <si>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</si>
  <si>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</si>
  <si>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</si>
  <si>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</si>
  <si>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</si>
  <si>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</si>
  <si>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</si>
  <si>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</si>
  <si>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</si>
  <si>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</si>
  <si>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</si>
  <si>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</si>
  <si>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</si>
  <si>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</si>
  <si>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</si>
  <si>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</si>
  <si>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</si>
  <si>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</si>
  <si>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</si>
  <si>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</si>
  <si>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</si>
  <si>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</si>
  <si>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</si>
  <si>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</si>
  <si>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</si>
  <si>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</si>
  <si>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</si>
  <si>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</si>
  <si>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</si>
  <si>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</si>
  <si>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</si>
  <si>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</si>
  <si>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</si>
  <si>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</si>
  <si>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</si>
  <si>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</si>
  <si>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</si>
  <si>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</si>
  <si>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</si>
  <si>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</si>
  <si>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</si>
  <si>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</si>
  <si>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</si>
  <si>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</si>
  <si>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</si>
  <si>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</si>
  <si>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</si>
  <si>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</si>
  <si>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</si>
  <si>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</si>
  <si>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</si>
  <si>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</si>
  <si>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</si>
  <si>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</si>
  <si>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</si>
  <si>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</si>
  <si>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</si>
  <si>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</si>
  <si>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</si>
  <si>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</si>
  <si>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</si>
  <si>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</si>
  <si>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</si>
  <si>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</si>
  <si>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</si>
  <si>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</si>
  <si>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</si>
  <si>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</si>
  <si>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</si>
  <si>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</si>
  <si>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</si>
  <si>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</si>
  <si>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</si>
  <si>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</si>
  <si>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</si>
  <si>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</si>
  <si>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</si>
  <si>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</si>
  <si>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</si>
  <si>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</si>
  <si>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</si>
  <si>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</si>
  <si>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</si>
  <si>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</si>
  <si>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</si>
  <si>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</si>
  <si>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</si>
  <si>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</si>
  <si>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</si>
  <si>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</si>
  <si>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</si>
  <si>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</si>
  <si>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</si>
  <si>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</si>
  <si>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</si>
  <si>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</si>
  <si>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</si>
  <si>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</si>
  <si>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</si>
  <si>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</si>
  <si>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</si>
  <si>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</si>
  <si>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</si>
  <si>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</si>
  <si>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</si>
  <si>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</si>
  <si>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</si>
  <si>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</si>
  <si>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</si>
  <si>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</si>
  <si>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</si>
  <si>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</si>
  <si>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</si>
  <si>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</si>
  <si>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</si>
  <si>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</si>
  <si>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</si>
  <si>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</si>
  <si>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</si>
  <si>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</si>
  <si>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</si>
  <si>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</si>
  <si>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</si>
  <si>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</si>
  <si>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</si>
  <si>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</si>
  <si>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</si>
  <si>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</si>
  <si>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</si>
  <si>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</si>
  <si>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</si>
  <si>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</si>
  <si>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</si>
  <si>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</si>
  <si>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</si>
  <si>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</si>
  <si>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</si>
  <si>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</si>
  <si>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</si>
  <si>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</si>
  <si>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</si>
  <si>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</si>
  <si>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</si>
  <si>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</si>
  <si>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</si>
  <si>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</si>
  <si>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</si>
  <si>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</si>
  <si>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</si>
  <si>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</si>
  <si>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</si>
  <si>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</si>
  <si>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</si>
  <si>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</si>
  <si>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</si>
  <si>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</si>
  <si>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</si>
  <si>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</si>
  <si>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</si>
  <si>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</si>
  <si>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</si>
  <si>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</si>
  <si>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</si>
  <si>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</si>
  <si>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</si>
  <si>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</si>
  <si>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</si>
  <si>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</si>
  <si>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</si>
  <si>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</si>
  <si>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</si>
  <si>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</si>
  <si>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</si>
  <si>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</si>
  <si>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</si>
  <si>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</si>
  <si>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</si>
  <si>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</si>
  <si>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</si>
  <si>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</si>
  <si>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</si>
  <si>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</si>
  <si>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</si>
  <si>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</si>
  <si>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</si>
  <si>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</si>
  <si>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</si>
  <si>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</si>
  <si>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</si>
  <si>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</si>
  <si>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</si>
  <si>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</si>
  <si>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</si>
  <si>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</si>
  <si>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</si>
  <si>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</si>
  <si>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</si>
  <si>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</si>
  <si>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</si>
  <si>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</si>
  <si>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</si>
  <si>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</si>
  <si>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</si>
  <si>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</si>
  <si>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</si>
  <si>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</si>
  <si>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</si>
  <si>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</si>
  <si>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</si>
  <si>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</si>
  <si>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</si>
  <si>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</si>
  <si>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</si>
  <si>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</si>
  <si>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</si>
  <si>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</si>
  <si>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</si>
  <si>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</si>
  <si>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</si>
  <si>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</si>
  <si>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</si>
  <si>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</si>
  <si>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</si>
  <si>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</si>
  <si>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</si>
  <si>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</si>
  <si>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</si>
  <si>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</si>
  <si>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</si>
  <si>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</si>
  <si>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</si>
  <si>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</si>
  <si>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</si>
  <si>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</si>
  <si>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</si>
  <si>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</si>
  <si>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</si>
  <si>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</si>
  <si>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</si>
  <si>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</si>
  <si>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</si>
  <si>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</si>
  <si>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</si>
  <si>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</si>
  <si>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</si>
  <si>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</si>
  <si>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</si>
  <si>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</si>
  <si>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</si>
  <si>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</si>
  <si>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</si>
  <si>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</si>
  <si>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</si>
  <si>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</si>
  <si>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</si>
  <si>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</si>
  <si>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</si>
  <si>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</si>
  <si>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</si>
  <si>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</si>
  <si>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</si>
  <si>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</si>
  <si>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</si>
  <si>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</si>
  <si>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</si>
  <si>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</si>
  <si>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</si>
  <si>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</si>
  <si>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</si>
  <si>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</si>
  <si>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</si>
  <si>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</si>
  <si>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</si>
  <si>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</si>
  <si>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</si>
  <si>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</si>
  <si>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</si>
  <si>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</si>
  <si>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</si>
  <si>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</si>
  <si>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</si>
  <si>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</si>
  <si>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</si>
  <si>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</si>
  <si>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</si>
  <si>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</si>
  <si>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</si>
  <si>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</si>
  <si>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</si>
  <si>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</si>
  <si>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</si>
  <si>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</si>
  <si>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</si>
  <si>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</si>
  <si>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</si>
  <si>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</si>
  <si>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</si>
  <si>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</si>
  <si>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</si>
  <si>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</si>
  <si>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</si>
  <si>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</si>
  <si>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</si>
  <si>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</si>
  <si>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</si>
  <si>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</si>
  <si>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</si>
  <si>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</si>
  <si>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</si>
  <si>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</si>
  <si>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</si>
  <si>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</si>
  <si>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</si>
  <si>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</si>
  <si>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</si>
  <si>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</si>
  <si>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</si>
  <si>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</si>
  <si>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</si>
  <si>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</si>
  <si>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</si>
  <si>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</si>
  <si>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</si>
  <si>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</si>
  <si>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</si>
  <si>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</si>
  <si>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</si>
  <si>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</si>
  <si>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</si>
  <si>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</si>
  <si>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</si>
  <si>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</si>
  <si>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</si>
  <si>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</si>
  <si>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</si>
  <si>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</si>
  <si>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</si>
  <si>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</si>
  <si>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</si>
  <si>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</si>
  <si>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</si>
  <si>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</si>
  <si>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</si>
  <si>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</si>
  <si>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</si>
  <si>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</si>
  <si>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</si>
  <si>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</si>
  <si>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</si>
  <si>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</si>
  <si>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</si>
  <si>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</si>
  <si>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</si>
  <si>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</si>
  <si>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</si>
  <si>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</si>
  <si>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</si>
  <si>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</si>
  <si>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</si>
  <si>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</si>
  <si>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</si>
  <si>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</si>
  <si>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</si>
  <si>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</si>
  <si>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</si>
  <si>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</si>
  <si>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</si>
  <si>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</si>
  <si>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</si>
  <si>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</si>
  <si>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</si>
  <si>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</si>
  <si>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</si>
  <si>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</si>
  <si>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</si>
  <si>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</si>
  <si>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</si>
  <si>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</si>
  <si>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</si>
  <si>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</si>
  <si>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</si>
  <si>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</si>
  <si>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</si>
  <si>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</si>
  <si>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</si>
  <si>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</si>
  <si>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</si>
  <si>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</si>
  <si>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</si>
  <si>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</si>
  <si>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</si>
  <si>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</si>
  <si>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</si>
  <si>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</si>
  <si>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</si>
  <si>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</si>
  <si>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</si>
  <si>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</si>
  <si>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</si>
  <si>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</si>
  <si>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</si>
  <si>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</si>
  <si>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</si>
  <si>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</si>
  <si>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</si>
  <si>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</si>
  <si>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</si>
  <si>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</si>
  <si>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</si>
  <si>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</si>
  <si>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</si>
  <si>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</si>
  <si>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</si>
  <si>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</si>
  <si>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</si>
  <si>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</si>
  <si>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</si>
  <si>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</si>
  <si>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</si>
  <si>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</si>
  <si>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</si>
  <si>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</si>
  <si>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</si>
  <si>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</si>
  <si>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</si>
  <si>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</si>
  <si>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</si>
  <si>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</si>
  <si>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</si>
  <si>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</si>
  <si>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</si>
  <si>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</si>
  <si>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</si>
  <si>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</si>
  <si>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</si>
  <si>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</si>
  <si>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</si>
  <si>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</si>
  <si>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</si>
  <si>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</si>
  <si>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</si>
  <si>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</si>
  <si>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</si>
  <si>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</si>
  <si>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</si>
  <si>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</si>
  <si>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</si>
  <si>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</si>
  <si>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</si>
  <si>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</si>
  <si>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</si>
  <si>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</si>
  <si>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</si>
  <si>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</si>
  <si>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</si>
  <si>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</si>
  <si>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</si>
  <si>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</si>
  <si>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</si>
  <si>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</si>
  <si>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</si>
  <si>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</si>
  <si>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</si>
  <si>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</si>
  <si>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</si>
  <si>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</si>
  <si>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</si>
  <si>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</si>
  <si>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</si>
  <si>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</si>
  <si>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</si>
  <si>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</si>
  <si>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</si>
  <si>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</si>
  <si>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</si>
  <si>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</si>
  <si>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</si>
  <si>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</si>
  <si>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</si>
  <si>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</si>
  <si>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</si>
  <si>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</si>
  <si>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</si>
  <si>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</si>
  <si>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</si>
  <si>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</si>
  <si>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</si>
  <si>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</si>
  <si>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</si>
  <si>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</si>
  <si>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</si>
  <si>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</si>
  <si>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</si>
  <si>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</si>
  <si>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</si>
  <si>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</si>
  <si>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</si>
  <si>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</si>
  <si>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</si>
  <si>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</si>
  <si>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</si>
  <si>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</si>
  <si>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</si>
  <si>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</si>
  <si>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</si>
  <si>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</si>
  <si>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</si>
  <si>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</si>
  <si>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</si>
  <si>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</si>
  <si>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</si>
  <si>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</si>
  <si>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</si>
  <si>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</si>
  <si>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</si>
  <si>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</si>
  <si>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</si>
  <si>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</si>
  <si>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</si>
  <si>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</si>
  <si>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</si>
  <si>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</si>
  <si>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</si>
  <si>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</si>
  <si>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</si>
  <si>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</si>
  <si>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</si>
  <si>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</si>
  <si>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</si>
  <si>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</si>
  <si>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</si>
  <si>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</si>
  <si>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</si>
  <si>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</si>
  <si>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</si>
  <si>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</si>
  <si>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</si>
  <si>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</si>
  <si>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</si>
  <si>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</si>
  <si>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</si>
  <si>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</si>
  <si>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</si>
  <si>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</si>
  <si>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</si>
  <si>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</si>
  <si>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</si>
  <si>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</si>
  <si>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</si>
  <si>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</si>
  <si>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</si>
  <si>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</si>
  <si>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</si>
  <si>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</si>
  <si>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</si>
  <si>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</si>
  <si>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</si>
  <si>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</si>
  <si>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</si>
  <si>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</si>
  <si>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</si>
  <si>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</si>
  <si>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</si>
  <si>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</si>
  <si>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</si>
  <si>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</si>
  <si>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</si>
  <si>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</si>
  <si>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</si>
  <si>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</si>
  <si>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</si>
  <si>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</si>
  <si>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</si>
  <si>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</si>
  <si>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</si>
  <si>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</si>
  <si>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</si>
  <si>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</si>
  <si>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</si>
  <si>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</si>
  <si>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</si>
  <si>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</si>
  <si>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</si>
  <si>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</si>
  <si>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</si>
  <si>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</si>
  <si>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</si>
  <si>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</si>
  <si>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</si>
  <si>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</si>
  <si>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</si>
  <si>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</si>
  <si>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</si>
  <si>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</si>
  <si>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</si>
  <si>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</si>
  <si>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</si>
  <si>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</si>
  <si>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</si>
  <si>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</si>
  <si>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</si>
  <si>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</si>
  <si>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</si>
  <si>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</si>
  <si>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</si>
  <si>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</si>
  <si>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</si>
  <si>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</si>
  <si>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</si>
  <si>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</si>
  <si>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</si>
  <si>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</si>
  <si>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</si>
  <si>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</si>
  <si>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</si>
  <si>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</si>
  <si>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</si>
  <si>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</si>
  <si>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</si>
  <si>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</si>
  <si>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</si>
  <si>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</si>
  <si>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</si>
  <si>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</si>
  <si>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</si>
  <si>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</si>
  <si>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</si>
  <si>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</si>
  <si>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</si>
  <si>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</si>
  <si>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</si>
  <si>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</si>
  <si>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</si>
  <si>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</si>
  <si>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</si>
  <si>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</si>
  <si>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</si>
  <si>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</si>
  <si>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</si>
  <si>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</si>
  <si>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</si>
  <si>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</si>
  <si>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</si>
  <si>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</si>
  <si>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</si>
  <si>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</si>
  <si>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</si>
  <si>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</si>
  <si>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</si>
  <si>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</si>
  <si>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</si>
  <si>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</si>
  <si>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</si>
  <si>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</si>
  <si>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</si>
  <si>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</si>
  <si>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</si>
  <si>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</si>
  <si>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</si>
  <si>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</si>
  <si>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</si>
  <si>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</si>
  <si>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</si>
  <si>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</si>
  <si>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</si>
  <si>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</si>
  <si>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</si>
  <si>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</si>
  <si>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</si>
  <si>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</si>
  <si>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</si>
  <si>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</si>
  <si>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</si>
  <si>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</si>
  <si>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</si>
  <si>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</si>
  <si>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</si>
  <si>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</si>
  <si>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</si>
  <si>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</si>
  <si>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</si>
  <si>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</si>
  <si>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</si>
  <si>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</si>
  <si>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</si>
  <si>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</si>
  <si>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</si>
  <si>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</si>
  <si>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</si>
  <si>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</si>
  <si>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</si>
  <si>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</si>
  <si>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</si>
  <si>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</si>
  <si>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</si>
  <si>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</si>
  <si>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</si>
  <si>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</si>
  <si>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</si>
  <si>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</si>
  <si>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</si>
  <si>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</si>
  <si>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</si>
  <si>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</si>
  <si>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</si>
  <si>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</si>
  <si>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</si>
  <si>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</si>
  <si>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</si>
  <si>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</si>
  <si>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</si>
  <si>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</si>
  <si>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</si>
  <si>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</si>
  <si>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</si>
  <si>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</si>
  <si>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</si>
  <si>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</si>
  <si>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</si>
  <si>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</si>
  <si>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</si>
  <si>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</si>
  <si>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</si>
  <si>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</si>
  <si>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</si>
  <si>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</si>
  <si>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</si>
  <si>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</si>
  <si>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</si>
  <si>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</si>
  <si>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</si>
  <si>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</si>
  <si>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</si>
  <si>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</si>
  <si>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</si>
  <si>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</si>
  <si>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</si>
  <si>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</si>
  <si>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</si>
  <si>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</si>
  <si>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</si>
  <si>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</si>
  <si>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</si>
  <si>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</si>
  <si>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</si>
  <si>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</si>
  <si>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</si>
  <si>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</si>
  <si>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</si>
  <si>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</si>
  <si>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</si>
  <si>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</si>
  <si>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</si>
  <si>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</si>
  <si>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</si>
  <si>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</si>
  <si>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</si>
  <si>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</si>
  <si>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</si>
  <si>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</si>
  <si>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</si>
  <si>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</si>
  <si>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</si>
  <si>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</si>
  <si>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</si>
  <si>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</si>
  <si>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</si>
  <si>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</si>
  <si>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</si>
  <si>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</si>
  <si>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</si>
  <si>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</si>
  <si>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</si>
  <si>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</si>
  <si>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</si>
  <si>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</si>
  <si>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</si>
  <si>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</si>
  <si>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</si>
  <si>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</si>
  <si>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</si>
  <si>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</si>
  <si>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</si>
  <si>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</si>
  <si>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</si>
  <si>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</si>
  <si>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</si>
  <si>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</si>
  <si>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</si>
  <si>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</si>
  <si>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</si>
  <si>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</si>
  <si>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</si>
  <si>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</si>
  <si>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</si>
  <si>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</si>
  <si>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</si>
  <si>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</si>
  <si>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</si>
  <si>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</si>
  <si>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</si>
  <si>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</si>
  <si>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</si>
  <si>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</si>
  <si>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</si>
  <si>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</si>
  <si>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</si>
  <si>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</si>
  <si>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</si>
  <si>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</si>
  <si>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</si>
  <si>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</si>
  <si>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</si>
  <si>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</si>
  <si>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</si>
  <si>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</si>
  <si>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</si>
  <si>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</si>
  <si>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</si>
  <si>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</si>
  <si>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</si>
  <si>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</si>
  <si>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</si>
  <si>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</si>
  <si>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</si>
  <si>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</si>
  <si>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</si>
  <si>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</si>
  <si>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</si>
  <si>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</si>
  <si>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</si>
  <si>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</si>
  <si>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</si>
  <si>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</si>
  <si>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</si>
  <si>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</si>
  <si>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</si>
  <si>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</si>
  <si>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</si>
  <si>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</si>
  <si>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</si>
  <si>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</si>
  <si>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</si>
  <si>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</si>
  <si>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</si>
  <si>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</si>
  <si>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</si>
  <si>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</si>
  <si>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</si>
  <si>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</si>
  <si>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</si>
  <si>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</si>
  <si>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</si>
  <si>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</si>
  <si>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</si>
  <si>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</si>
  <si>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</si>
  <si>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</si>
  <si>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</si>
  <si>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</si>
  <si>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</si>
  <si>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</si>
  <si>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</si>
  <si>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</si>
  <si>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</si>
  <si>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</si>
  <si>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</si>
  <si>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</si>
  <si>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</si>
  <si>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</si>
  <si>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</si>
  <si>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</si>
  <si>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</si>
  <si>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</si>
  <si>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</si>
  <si>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</si>
  <si>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</si>
  <si>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</si>
  <si>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</si>
  <si>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</si>
  <si>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</si>
  <si>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</si>
  <si>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</si>
  <si>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</si>
  <si>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</si>
  <si>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</si>
  <si>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</si>
  <si>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</si>
  <si>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</si>
  <si>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</si>
  <si>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</si>
  <si>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</si>
  <si>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</si>
  <si>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</si>
  <si>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</si>
  <si>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</si>
  <si>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</si>
  <si>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</si>
  <si>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</si>
  <si>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</si>
  <si>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</si>
  <si>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</si>
  <si>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</si>
  <si>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</si>
  <si>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</si>
  <si>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</si>
  <si>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</si>
  <si>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</si>
  <si>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</si>
  <si>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</si>
  <si>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</si>
  <si>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</si>
  <si>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</si>
  <si>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</si>
  <si>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</si>
  <si>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</si>
  <si>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</si>
  <si>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</si>
  <si>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</si>
  <si>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</si>
  <si>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</si>
  <si>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</si>
  <si>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</si>
  <si>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</si>
  <si>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</si>
  <si>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</si>
  <si>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</si>
  <si>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</si>
  <si>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</si>
  <si>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</si>
  <si>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</si>
  <si>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</si>
  <si>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</si>
  <si>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</si>
  <si>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</si>
  <si>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</si>
  <si>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</si>
  <si>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</si>
  <si>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</si>
  <si>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</si>
  <si>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</si>
  <si>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</si>
  <si>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</si>
  <si>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</si>
  <si>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</si>
  <si>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</si>
  <si>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</si>
  <si>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</si>
  <si>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</si>
  <si>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</si>
  <si>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</si>
  <si>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</si>
  <si>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</si>
  <si>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</si>
  <si>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</si>
  <si>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</si>
  <si>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</si>
  <si>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</si>
  <si>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</si>
  <si>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</si>
  <si>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</si>
  <si>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</si>
  <si>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</si>
  <si>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</si>
  <si>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</si>
  <si>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</si>
  <si>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</si>
  <si>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</si>
  <si>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</si>
  <si>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</si>
  <si>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</si>
  <si>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</si>
  <si>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</si>
  <si>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</si>
  <si>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</si>
  <si>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</si>
  <si>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</si>
  <si>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</si>
  <si>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</si>
  <si>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</si>
  <si>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</si>
  <si>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</si>
  <si>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</si>
  <si>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</si>
  <si>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</si>
  <si>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</si>
  <si>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</si>
  <si>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</si>
  <si>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</si>
  <si>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</si>
  <si>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</si>
  <si>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</si>
  <si>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</si>
  <si>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</si>
  <si>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</si>
  <si>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</si>
  <si>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</si>
  <si>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</si>
  <si>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</si>
  <si>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</si>
  <si>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</si>
  <si>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</si>
  <si>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</si>
  <si>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</si>
  <si>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</si>
  <si>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</si>
  <si>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</si>
  <si>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</si>
  <si>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</si>
  <si>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</si>
  <si>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</si>
  <si>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</si>
  <si>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</si>
  <si>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</si>
  <si>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</si>
  <si>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</si>
  <si>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</si>
  <si>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</si>
  <si>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</si>
  <si>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</si>
  <si>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</si>
  <si>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</si>
  <si>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</si>
  <si>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</si>
  <si>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</si>
  <si>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</si>
  <si>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</si>
  <si>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</si>
  <si>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</si>
  <si>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</si>
  <si>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</si>
  <si>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</si>
  <si>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</si>
  <si>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</si>
  <si>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</si>
  <si>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</si>
  <si>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</si>
  <si>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</si>
  <si>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</si>
  <si>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</si>
  <si>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</si>
  <si>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</si>
  <si>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</si>
  <si>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</si>
  <si>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</si>
  <si>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</si>
  <si>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</si>
  <si>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</si>
  <si>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</si>
  <si>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</si>
  <si>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</si>
  <si>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</si>
  <si>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</si>
  <si>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</si>
  <si>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</si>
  <si>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</si>
  <si>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</si>
  <si>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</si>
  <si>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</si>
  <si>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</si>
  <si>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</si>
  <si>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</si>
  <si>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</si>
  <si>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</si>
  <si>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</si>
  <si>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</si>
  <si>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</si>
  <si>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</si>
  <si>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</si>
  <si>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</si>
  <si>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</si>
  <si>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</si>
  <si>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</si>
  <si>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</si>
  <si>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</si>
  <si>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</si>
  <si>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</si>
  <si>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</si>
  <si>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</si>
  <si>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</si>
  <si>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</si>
  <si>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</si>
  <si>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</si>
  <si>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</si>
  <si>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</si>
  <si>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</si>
  <si>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</si>
  <si>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</si>
  <si>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</si>
  <si>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</si>
  <si>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</si>
  <si>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</si>
  <si>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</si>
  <si>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</si>
  <si>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</si>
  <si>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</si>
  <si>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</si>
  <si>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</si>
  <si>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</si>
  <si>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</si>
  <si>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</si>
  <si>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</si>
  <si>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</si>
  <si>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</si>
  <si>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</si>
  <si>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</si>
  <si>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</si>
  <si>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</si>
  <si>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</si>
  <si>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</si>
  <si>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</si>
  <si>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</si>
  <si>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</si>
  <si>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</si>
  <si>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</si>
  <si>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</si>
  <si>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</si>
  <si>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</si>
  <si>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</si>
  <si>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</si>
  <si>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</si>
  <si>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</si>
  <si>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</si>
  <si>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</si>
  <si>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</si>
  <si>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</si>
  <si>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</si>
  <si>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</si>
  <si>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</si>
  <si>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</si>
  <si>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</si>
  <si>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</si>
  <si>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</si>
  <si>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</si>
  <si>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</si>
  <si>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</si>
  <si>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</si>
  <si>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</si>
  <si>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</si>
  <si>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</si>
  <si>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</si>
  <si>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</si>
  <si>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</si>
  <si>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</si>
  <si>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</si>
  <si>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</si>
  <si>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</si>
  <si>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</si>
  <si>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</si>
  <si>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</si>
  <si>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</si>
  <si>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</si>
  <si>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</si>
  <si>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</si>
  <si>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</si>
  <si>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</si>
  <si>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</si>
  <si>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</si>
  <si>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</si>
  <si>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</si>
  <si>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</si>
  <si>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</si>
  <si>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</si>
  <si>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</si>
  <si>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</si>
  <si>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</si>
  <si>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</si>
  <si>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</si>
  <si>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</si>
  <si>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</si>
  <si>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</si>
  <si>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</si>
  <si>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</si>
  <si>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</si>
  <si>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</si>
  <si>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</si>
  <si>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</si>
  <si>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</si>
  <si>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</si>
  <si>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</si>
  <si>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</si>
  <si>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</si>
  <si>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</si>
  <si>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</si>
  <si>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</si>
  <si>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</si>
  <si>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</si>
  <si>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</si>
  <si>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</si>
  <si>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</si>
  <si>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</si>
  <si>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</si>
  <si>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</si>
  <si>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</si>
  <si>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</si>
  <si>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</si>
  <si>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</si>
  <si>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</si>
  <si>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</si>
  <si>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</si>
  <si>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</si>
  <si>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</si>
  <si>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</si>
  <si>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</si>
  <si>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</si>
  <si>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</si>
  <si>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</si>
  <si>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</si>
  <si>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</si>
  <si>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</si>
  <si>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</si>
  <si>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</si>
  <si>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</si>
  <si>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</si>
  <si>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</si>
  <si>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</si>
  <si>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</si>
  <si>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</si>
  <si>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</si>
  <si>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</si>
  <si>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</si>
  <si>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</si>
  <si>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</si>
  <si>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</si>
  <si>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</si>
  <si>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</si>
  <si>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</si>
  <si>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</si>
  <si>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</si>
  <si>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</si>
  <si>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</si>
  <si>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</si>
  <si>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</si>
  <si>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</si>
  <si>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</si>
  <si>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</si>
  <si>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</si>
  <si>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</si>
  <si>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</si>
  <si>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</si>
  <si>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</si>
  <si>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</si>
  <si>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</si>
  <si>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</si>
  <si>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</si>
  <si>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</si>
  <si>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</si>
  <si>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</si>
  <si>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</si>
  <si>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</si>
  <si>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</si>
  <si>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</si>
  <si>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</si>
  <si>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</si>
  <si>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</si>
  <si>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</si>
  <si>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</si>
  <si>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</si>
  <si>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</si>
  <si>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</si>
  <si>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</si>
  <si>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</si>
  <si>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</si>
  <si>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</si>
  <si>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</si>
  <si>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</si>
  <si>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</si>
  <si>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</si>
  <si>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</si>
  <si>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</si>
  <si>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</si>
  <si>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</si>
  <si>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</si>
  <si>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</si>
  <si>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</si>
  <si>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</si>
  <si>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</si>
  <si>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</si>
  <si>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</si>
  <si>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</si>
  <si>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</si>
  <si>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</si>
  <si>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</si>
  <si>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</si>
  <si>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</si>
  <si>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</si>
  <si>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</si>
  <si>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</si>
  <si>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</si>
  <si>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</si>
  <si>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</si>
  <si>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</si>
  <si>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</si>
  <si>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</si>
  <si>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</si>
  <si>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</si>
  <si>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</si>
  <si>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</si>
  <si>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</si>
  <si>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</si>
  <si>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</si>
  <si>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</si>
  <si>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</si>
  <si>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</si>
  <si>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</si>
  <si>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</si>
  <si>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</si>
  <si>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</si>
  <si>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</si>
  <si>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</si>
  <si>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</si>
  <si>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</si>
  <si>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</si>
  <si>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</si>
  <si>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</si>
  <si>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</si>
  <si>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</si>
  <si>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</si>
  <si>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</si>
  <si>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</si>
  <si>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</si>
  <si>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</si>
  <si>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</si>
  <si>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</si>
  <si>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</si>
  <si>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</si>
  <si>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</si>
  <si>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</si>
  <si>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</si>
  <si>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</si>
  <si>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</si>
  <si>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</si>
  <si>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</si>
  <si>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</si>
  <si>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</si>
  <si>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</si>
  <si>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</si>
  <si>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</si>
  <si>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</si>
  <si>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</si>
  <si>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</si>
  <si>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</si>
  <si>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</si>
  <si>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</si>
  <si>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</si>
  <si>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</si>
  <si>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</si>
  <si>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</si>
  <si>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</si>
  <si>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</si>
  <si>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</si>
  <si>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</si>
  <si>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</si>
  <si>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</si>
  <si>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</si>
  <si>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</si>
  <si>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</si>
  <si>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</si>
  <si>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</si>
  <si>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</si>
  <si>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</si>
  <si>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</si>
  <si>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</si>
  <si>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</si>
  <si>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</si>
  <si>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</si>
  <si>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</si>
  <si>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</si>
  <si>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</si>
  <si>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</si>
  <si>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</si>
  <si>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</si>
  <si>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</si>
  <si>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</si>
  <si>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</si>
  <si>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</si>
  <si>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</si>
  <si>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</si>
  <si>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</si>
  <si>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</si>
  <si>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</si>
  <si>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</si>
  <si>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</si>
  <si>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</si>
  <si>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</si>
  <si>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</si>
  <si>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</si>
  <si>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</si>
  <si>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</si>
  <si>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</si>
  <si>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</si>
  <si>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</si>
  <si>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</si>
  <si>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</si>
  <si>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</si>
  <si>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</si>
  <si>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</si>
  <si>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</si>
  <si>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</si>
  <si>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</si>
  <si>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</si>
  <si>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</si>
  <si>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</si>
  <si>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</si>
  <si>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</si>
  <si>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</si>
  <si>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</si>
  <si>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</si>
  <si>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</si>
  <si>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</si>
  <si>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</si>
  <si>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</si>
  <si>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</si>
  <si>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</si>
  <si>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</si>
  <si>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</si>
  <si>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</si>
  <si>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</si>
  <si>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</si>
  <si>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</si>
  <si>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</si>
  <si>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</si>
  <si>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</si>
  <si>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</si>
  <si>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</si>
  <si>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</si>
  <si>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</si>
  <si>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</si>
  <si>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</si>
  <si>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</si>
  <si>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</si>
  <si>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</si>
  <si>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</si>
  <si>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</si>
  <si>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</si>
  <si>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</si>
  <si>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</si>
  <si>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</si>
  <si>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</si>
  <si>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</si>
  <si>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</si>
  <si>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</si>
  <si>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</si>
  <si>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</si>
  <si>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</si>
  <si>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</si>
  <si>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</si>
  <si>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</si>
  <si>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</si>
  <si>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</si>
  <si>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</si>
  <si>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</si>
  <si>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</si>
  <si>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</si>
  <si>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</si>
  <si>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</si>
  <si>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</si>
  <si>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</si>
  <si>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</si>
  <si>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</si>
  <si>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</si>
  <si>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</si>
  <si>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</si>
  <si>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</si>
  <si>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</si>
  <si>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</si>
  <si>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</si>
  <si>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</si>
  <si>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</si>
  <si>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</si>
  <si>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</si>
  <si>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</si>
  <si>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</si>
  <si>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</si>
  <si>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</si>
  <si>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</si>
  <si>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</si>
  <si>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</si>
  <si>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</si>
  <si>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</si>
  <si>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</si>
  <si>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</si>
  <si>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</si>
  <si>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</si>
  <si>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</si>
  <si>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</si>
  <si>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</si>
  <si>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</si>
  <si>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</si>
  <si>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</si>
  <si>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</si>
  <si>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</si>
  <si>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</si>
  <si>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</si>
  <si>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</si>
  <si>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</si>
  <si>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</si>
  <si>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</si>
  <si>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</si>
  <si>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</si>
  <si>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</si>
  <si>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</si>
  <si>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</si>
  <si>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</si>
  <si>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</si>
  <si>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</si>
  <si>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</si>
  <si>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</si>
  <si>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</si>
  <si>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</si>
  <si>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</si>
  <si>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</si>
  <si>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</si>
  <si>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</si>
  <si>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</si>
  <si>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</si>
  <si>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</si>
  <si>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</si>
  <si>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</si>
  <si>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</si>
  <si>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</si>
  <si>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</si>
  <si>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</si>
  <si>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</si>
  <si>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</si>
  <si>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</si>
  <si>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</si>
  <si>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</si>
  <si>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</si>
  <si>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</si>
  <si>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</si>
  <si>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</si>
  <si>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</si>
  <si>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</si>
  <si>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</si>
  <si>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</si>
  <si>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</si>
  <si>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</si>
  <si>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</si>
  <si>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</si>
  <si>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</si>
  <si>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</si>
  <si>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</si>
  <si>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</si>
  <si>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</si>
  <si>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</si>
  <si>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</si>
  <si>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</si>
  <si>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</si>
  <si>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</si>
  <si>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</si>
  <si>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</si>
  <si>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</si>
  <si>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</si>
  <si>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</si>
  <si>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</si>
  <si>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</si>
  <si>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</si>
  <si>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</si>
  <si>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</si>
  <si>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</si>
  <si>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</si>
  <si>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</si>
  <si>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</si>
  <si>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</si>
  <si>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</si>
  <si>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</si>
  <si>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</si>
  <si>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</si>
  <si>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</si>
  <si>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</si>
  <si>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</si>
  <si>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</si>
  <si>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</si>
  <si>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</si>
  <si>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</si>
  <si>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</si>
  <si>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</si>
  <si>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</si>
  <si>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</si>
  <si>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</si>
  <si>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</si>
  <si>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</si>
  <si>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</si>
  <si>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</si>
  <si>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</si>
  <si>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</si>
  <si>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</si>
  <si>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</si>
  <si>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</si>
  <si>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</si>
  <si>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</si>
  <si>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</si>
  <si>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</si>
  <si>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</si>
  <si>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</si>
  <si>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</si>
  <si>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</si>
  <si>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</si>
  <si>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</si>
  <si>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</si>
  <si>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</si>
  <si>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</si>
  <si>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</si>
  <si>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</si>
  <si>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</si>
  <si>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</si>
  <si>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</si>
  <si>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</si>
  <si>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</si>
  <si>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</si>
  <si>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</si>
  <si>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</si>
  <si>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</si>
  <si>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</si>
  <si>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</si>
  <si>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</si>
  <si>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</si>
  <si>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</si>
  <si>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</si>
  <si>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</si>
  <si>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</si>
  <si>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</si>
  <si>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</si>
  <si>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</si>
  <si>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</si>
  <si>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</si>
  <si>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</si>
  <si>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</si>
  <si>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</si>
  <si>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</si>
  <si>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</si>
  <si>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</si>
  <si>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</si>
  <si>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</si>
  <si>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</si>
  <si>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</si>
  <si>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</si>
  <si>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</si>
  <si>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</si>
  <si>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</si>
  <si>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</si>
  <si>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</si>
  <si>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</si>
  <si>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</si>
  <si>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</si>
  <si>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</si>
  <si>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</si>
  <si>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</si>
  <si>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</si>
  <si>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</si>
  <si>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</si>
  <si>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</si>
  <si>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</si>
  <si>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</si>
  <si>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</si>
  <si>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</si>
  <si>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</si>
  <si>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</si>
  <si>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</si>
  <si>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</si>
  <si>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</si>
  <si>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</si>
  <si>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</si>
  <si>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</si>
  <si>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</si>
  <si>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</si>
  <si>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</si>
  <si>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</si>
  <si>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</si>
  <si>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</si>
  <si>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</si>
  <si>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</si>
  <si>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</si>
  <si>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</si>
  <si>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</si>
  <si>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</si>
  <si>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</si>
  <si>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</si>
  <si>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</si>
  <si>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</si>
  <si>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</si>
  <si>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</si>
  <si>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</si>
  <si>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</si>
  <si>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</si>
  <si>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</si>
  <si>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</si>
  <si>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</si>
  <si>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</si>
  <si>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</si>
  <si>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</si>
  <si>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</si>
  <si>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</si>
  <si>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</si>
  <si>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</si>
  <si>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</si>
  <si>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</si>
  <si>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</si>
  <si>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</si>
  <si>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</si>
  <si>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</si>
  <si>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</si>
  <si>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</si>
  <si>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</si>
  <si>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</si>
  <si>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</si>
  <si>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</si>
  <si>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</si>
  <si>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</si>
  <si>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</si>
  <si>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</si>
  <si>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</si>
  <si>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</si>
  <si>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</si>
  <si>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</si>
  <si>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</si>
  <si>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</si>
  <si>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</si>
  <si>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</si>
  <si>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</si>
  <si>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</si>
  <si>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</si>
  <si>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</si>
  <si>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</si>
  <si>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</si>
  <si>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</si>
  <si>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</si>
  <si>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</si>
  <si>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</si>
  <si>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</si>
  <si>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</si>
  <si>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</si>
  <si>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</si>
  <si>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</si>
  <si>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</si>
  <si>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</si>
  <si>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</si>
  <si>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</si>
  <si>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</si>
  <si>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</si>
  <si>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</si>
  <si>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</si>
  <si>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</si>
  <si>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</si>
  <si>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</si>
  <si>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</si>
  <si>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</si>
  <si>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</si>
  <si>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</si>
  <si>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</si>
  <si>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</si>
  <si>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</si>
  <si>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</si>
  <si>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</si>
  <si>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</si>
  <si>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</si>
  <si>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</si>
  <si>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</si>
  <si>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</si>
  <si>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</si>
  <si>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</si>
  <si>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</si>
  <si>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</si>
  <si>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</si>
  <si>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</si>
  <si>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</si>
  <si>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</si>
  <si>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</si>
  <si>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</si>
  <si>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</si>
  <si>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</si>
  <si>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</si>
  <si>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</si>
  <si>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</si>
  <si>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</si>
  <si>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</si>
  <si>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</si>
  <si>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</si>
  <si>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</si>
  <si>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</si>
  <si>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</si>
  <si>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</si>
  <si>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</si>
  <si>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</si>
  <si>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</si>
  <si>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</si>
  <si>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</si>
  <si>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</si>
  <si>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</si>
  <si>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</si>
  <si>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</si>
  <si>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</si>
  <si>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</si>
  <si>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</si>
  <si>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</si>
  <si>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</si>
  <si>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</si>
  <si>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</si>
  <si>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</si>
  <si>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</si>
  <si>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</si>
  <si>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</si>
  <si>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</si>
  <si>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</si>
  <si>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</si>
  <si>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</si>
  <si>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</si>
  <si>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</si>
  <si>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</si>
  <si>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</si>
  <si>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</si>
  <si>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</si>
  <si>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</si>
  <si>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</si>
  <si>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</si>
  <si>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</si>
  <si>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</si>
  <si>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</si>
  <si>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</si>
  <si>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</si>
  <si>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</si>
  <si>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</si>
  <si>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</si>
  <si>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</si>
  <si>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</si>
  <si>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</si>
  <si>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</si>
  <si>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</si>
  <si>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</si>
  <si>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</si>
  <si>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</si>
  <si>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</si>
  <si>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</si>
  <si>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</si>
  <si>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</si>
  <si>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</si>
  <si>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</si>
  <si>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</si>
  <si>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</si>
  <si>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</si>
  <si>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</si>
  <si>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</si>
  <si>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</si>
  <si>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</si>
  <si>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</si>
  <si>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</si>
  <si>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</si>
  <si>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</si>
  <si>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</si>
  <si>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</si>
  <si>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</si>
  <si>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</si>
  <si>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</si>
  <si>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</si>
  <si>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</si>
  <si>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</si>
  <si>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</si>
  <si>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</si>
  <si>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</si>
  <si>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</si>
  <si>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</si>
  <si>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</si>
  <si>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</si>
  <si>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</si>
  <si>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</si>
  <si>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</si>
  <si>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</si>
  <si>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</si>
  <si>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</si>
  <si>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</si>
  <si>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</si>
  <si>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</si>
  <si>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</si>
  <si>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</si>
  <si>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</si>
  <si>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</si>
  <si>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</si>
  <si>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</si>
  <si>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</si>
  <si>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</si>
  <si>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</si>
  <si>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</si>
  <si>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</si>
  <si>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</si>
  <si>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</si>
  <si>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</si>
  <si>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</si>
  <si>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</si>
  <si>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</si>
  <si>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</si>
  <si>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</si>
  <si>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</si>
  <si>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</si>
  <si>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</si>
  <si>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</si>
  <si>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</si>
  <si>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</si>
  <si>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</si>
  <si>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</si>
  <si>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</si>
  <si>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</si>
  <si>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</si>
  <si>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</si>
  <si>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</si>
  <si>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</si>
  <si>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</si>
  <si>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</si>
  <si>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</si>
  <si>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</si>
  <si>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</si>
  <si>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</si>
  <si>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</si>
  <si>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</si>
  <si>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</si>
  <si>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</si>
  <si>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</si>
  <si>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</si>
  <si>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</si>
  <si>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</si>
  <si>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</si>
  <si>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</si>
  <si>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</si>
  <si>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</si>
  <si>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</si>
  <si>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</si>
  <si>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</si>
  <si>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</si>
  <si>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</si>
  <si>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</si>
  <si>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</si>
  <si>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</si>
  <si>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</si>
  <si>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</si>
  <si>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</si>
  <si>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</si>
  <si>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</si>
  <si>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</si>
  <si>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</si>
  <si>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</si>
  <si>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</si>
  <si>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</si>
  <si>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</si>
  <si>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</si>
  <si>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</si>
  <si>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</si>
  <si>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</si>
  <si>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</si>
  <si>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</si>
  <si>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</si>
  <si>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</si>
  <si>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</si>
  <si>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</si>
  <si>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</si>
  <si>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</si>
  <si>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</si>
  <si>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</si>
  <si>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</si>
  <si>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</si>
  <si>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</si>
  <si>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</si>
  <si>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</si>
  <si>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</si>
  <si>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</si>
  <si>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</si>
  <si>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</si>
  <si>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</si>
  <si>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</si>
  <si>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</si>
  <si>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</si>
  <si>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</si>
  <si>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</si>
  <si>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</si>
  <si>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</si>
  <si>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</si>
  <si>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</si>
  <si>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</si>
  <si>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</si>
  <si>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</si>
  <si>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</si>
  <si>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</si>
  <si>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</si>
  <si>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</si>
  <si>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</si>
  <si>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</si>
  <si>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</si>
  <si>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</si>
  <si>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</si>
  <si>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</si>
  <si>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</si>
  <si>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</si>
  <si>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</si>
  <si>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</si>
  <si>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</si>
  <si>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</si>
  <si>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</si>
  <si>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</si>
  <si>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</si>
  <si>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</si>
  <si>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</si>
  <si>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</si>
  <si>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</si>
  <si>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</si>
  <si>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</si>
  <si>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</si>
  <si>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</si>
  <si>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</si>
  <si>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</si>
  <si>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</si>
  <si>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</si>
  <si>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</si>
  <si>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</si>
  <si>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</si>
  <si>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</si>
  <si>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</si>
  <si>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</si>
  <si>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</si>
  <si>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</si>
  <si>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</si>
  <si>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</si>
  <si>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</si>
  <si>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</si>
  <si>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</si>
  <si>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</si>
  <si>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</si>
  <si>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</si>
  <si>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</si>
  <si>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</si>
  <si>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</si>
  <si>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</si>
  <si>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</si>
  <si>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</si>
  <si>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</si>
  <si>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</si>
  <si>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</si>
  <si>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</si>
  <si>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</si>
  <si>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</si>
  <si>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</si>
  <si>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</si>
  <si>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</si>
  <si>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</si>
  <si>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</si>
  <si>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</si>
  <si>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</si>
  <si>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</si>
  <si>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</si>
  <si>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</si>
  <si>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</si>
  <si>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</si>
  <si>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</si>
  <si>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</si>
  <si>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</si>
  <si>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</si>
  <si>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</si>
  <si>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</si>
  <si>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</si>
  <si>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</si>
  <si>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</si>
  <si>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</si>
  <si>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</si>
  <si>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</si>
  <si>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</si>
  <si>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</si>
  <si>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</si>
  <si>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</si>
  <si>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</si>
  <si>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</si>
  <si>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</si>
  <si>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</si>
  <si>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</si>
  <si>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</si>
  <si>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</si>
  <si>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</si>
  <si>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</si>
  <si>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</si>
  <si>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</si>
  <si>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</si>
  <si>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</si>
  <si>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</si>
  <si>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</si>
  <si>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</si>
  <si>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</si>
  <si>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</si>
  <si>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</si>
  <si>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</si>
  <si>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</si>
  <si>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</si>
  <si>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</si>
  <si>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</si>
  <si>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</si>
  <si>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</si>
  <si>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</si>
  <si>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</si>
  <si>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</si>
  <si>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</si>
  <si>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</si>
  <si>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</si>
  <si>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</si>
  <si>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</si>
  <si>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</si>
  <si>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</si>
  <si>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</si>
  <si>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</si>
  <si>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</si>
  <si>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</si>
  <si>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</si>
  <si>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</si>
  <si>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</si>
  <si>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</si>
  <si>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</si>
  <si>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</si>
  <si>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</si>
  <si>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</si>
  <si>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</si>
  <si>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</si>
  <si>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</si>
  <si>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</si>
  <si>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</si>
  <si>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</si>
  <si>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</si>
  <si>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</si>
  <si>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</si>
  <si>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</si>
  <si>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</si>
  <si>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</si>
  <si>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</si>
  <si>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</si>
  <si>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</si>
  <si>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</si>
  <si>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</si>
  <si>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</si>
  <si>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</si>
  <si>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</si>
  <si>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</si>
  <si>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</si>
  <si>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</si>
  <si>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</si>
  <si>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</si>
  <si>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</si>
  <si>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</si>
  <si>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</si>
  <si>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</si>
  <si>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</si>
  <si>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</si>
  <si>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</si>
  <si>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</si>
  <si>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</si>
  <si>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</si>
  <si>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</si>
  <si>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</si>
  <si>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</si>
  <si>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</si>
  <si>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</si>
  <si>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</si>
  <si>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</si>
  <si>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</si>
  <si>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</si>
  <si>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</si>
  <si>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</si>
  <si>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</si>
  <si>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</si>
  <si>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</si>
  <si>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</si>
  <si>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</si>
  <si>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</si>
  <si>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</si>
  <si>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</si>
  <si>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</si>
  <si>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</si>
  <si>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</si>
  <si>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</si>
  <si>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</si>
  <si>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</si>
  <si>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</si>
  <si>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</si>
  <si>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</si>
  <si>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</si>
  <si>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</si>
  <si>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</si>
  <si>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</si>
  <si>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</si>
  <si>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</si>
  <si>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</si>
  <si>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</si>
  <si>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</si>
  <si>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</si>
  <si>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</si>
  <si>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</si>
  <si>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</si>
  <si>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</si>
  <si>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</si>
  <si>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</si>
  <si>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</si>
  <si>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</si>
  <si>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</si>
  <si>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</si>
  <si>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</si>
  <si>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</si>
  <si>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</si>
  <si>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</si>
  <si>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</si>
  <si>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</si>
  <si>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</si>
  <si>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</si>
  <si>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</si>
  <si>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</si>
  <si>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</si>
  <si>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</si>
  <si>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</si>
  <si>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</si>
  <si>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</si>
  <si>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</si>
  <si>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</si>
  <si>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</si>
  <si>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</si>
  <si>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</si>
  <si>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</si>
  <si>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</si>
  <si>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</si>
  <si>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</si>
  <si>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</si>
  <si>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</si>
  <si>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</si>
  <si>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</si>
  <si>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</si>
  <si>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</si>
  <si>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</si>
  <si>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</si>
  <si>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</si>
  <si>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</si>
  <si>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</si>
  <si>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</si>
  <si>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</si>
  <si>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</si>
  <si>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</si>
  <si>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</si>
  <si>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</si>
  <si>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</si>
  <si>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</si>
  <si>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</si>
  <si>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</si>
  <si>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</si>
  <si>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</si>
  <si>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</si>
  <si>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</si>
  <si>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</si>
  <si>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</si>
  <si>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</si>
  <si>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</si>
  <si>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</si>
  <si>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</si>
  <si>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</si>
  <si>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</si>
  <si>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</si>
  <si>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</si>
  <si>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</si>
  <si>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</si>
  <si>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</si>
  <si>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</si>
  <si>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</si>
  <si>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</si>
  <si>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</si>
  <si>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</si>
  <si>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</si>
  <si>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</si>
  <si>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</si>
  <si>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</si>
  <si>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</si>
  <si>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</si>
  <si>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</si>
  <si>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</si>
  <si>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</si>
  <si>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</si>
  <si>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</si>
  <si>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</si>
  <si>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</si>
  <si>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</si>
  <si>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</si>
  <si>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</si>
  <si>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</si>
  <si>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</si>
  <si>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</si>
  <si>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</si>
  <si>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</si>
  <si>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</si>
  <si>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</si>
  <si>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</si>
  <si>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</si>
  <si>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</si>
  <si>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</si>
  <si>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</si>
  <si>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</si>
  <si>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</si>
  <si>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</si>
  <si>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</si>
  <si>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</si>
  <si>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</si>
  <si>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</si>
  <si>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</si>
  <si>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</si>
  <si>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</si>
  <si>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</si>
  <si>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</si>
  <si>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</si>
  <si>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</si>
  <si>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</si>
  <si>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</si>
  <si>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</si>
  <si>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</si>
  <si>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</si>
  <si>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</si>
  <si>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</si>
  <si>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</si>
  <si>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</si>
  <si>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</si>
  <si>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</si>
  <si>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</si>
  <si>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</si>
  <si>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</si>
  <si>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</si>
  <si>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</si>
  <si>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</si>
  <si>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</si>
  <si>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</si>
  <si>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</si>
  <si>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</si>
  <si>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</si>
  <si>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</si>
  <si>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</si>
  <si>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</si>
  <si>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</si>
  <si>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</si>
  <si>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</si>
  <si>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</si>
  <si>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</si>
  <si>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</si>
  <si>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</si>
  <si>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</si>
  <si>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</si>
  <si>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</si>
  <si>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</si>
  <si>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</si>
  <si>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</si>
  <si>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</si>
  <si>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</si>
  <si>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</si>
  <si>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</si>
  <si>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</si>
  <si>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</si>
  <si>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</si>
  <si>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</si>
  <si>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</si>
  <si>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</si>
  <si>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</si>
  <si>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</si>
  <si>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</si>
  <si>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</si>
  <si>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</si>
  <si>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</si>
  <si>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</si>
  <si>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</si>
  <si>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</si>
  <si>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</si>
  <si>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</si>
  <si>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</si>
  <si>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</si>
  <si>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</si>
  <si>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</si>
  <si>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</si>
  <si>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</si>
  <si>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</si>
  <si>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</si>
  <si>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</si>
  <si>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</si>
  <si>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</si>
  <si>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</si>
  <si>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</si>
  <si>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</si>
  <si>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</si>
  <si>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</si>
  <si>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</si>
  <si>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</si>
  <si>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</si>
  <si>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</si>
  <si>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</si>
  <si>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</si>
  <si>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</si>
  <si>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</si>
  <si>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</si>
  <si>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</si>
  <si>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</si>
  <si>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</si>
  <si>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</si>
  <si>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</si>
  <si>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</si>
  <si>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</si>
  <si>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</si>
  <si>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</si>
  <si>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</si>
  <si>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</si>
  <si>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</si>
  <si>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</si>
  <si>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</si>
  <si>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</si>
  <si>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</si>
  <si>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</si>
  <si>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</si>
  <si>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</si>
  <si>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</si>
  <si>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</si>
  <si>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</si>
  <si>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</si>
  <si>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</si>
  <si>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</si>
  <si>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</si>
  <si>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</si>
  <si>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</si>
  <si>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</si>
  <si>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</si>
  <si>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</si>
  <si>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</si>
  <si>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</si>
  <si>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</si>
  <si>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</si>
  <si>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</si>
  <si>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</si>
  <si>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</si>
  <si>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</si>
  <si>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</si>
  <si>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</si>
  <si>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</si>
  <si>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</si>
  <si>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</si>
  <si>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</si>
  <si>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</si>
  <si>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</si>
  <si>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</si>
  <si>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</si>
  <si>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</si>
  <si>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</si>
  <si>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</si>
  <si>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</si>
  <si>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</si>
  <si>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</si>
  <si>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</si>
  <si>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</si>
  <si>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</si>
  <si>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</si>
  <si>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</si>
  <si>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</si>
  <si>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</si>
  <si>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</si>
  <si>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</si>
  <si>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</si>
  <si>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</si>
  <si>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</si>
  <si>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</si>
  <si>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</si>
  <si>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</si>
  <si>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</si>
  <si>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</si>
  <si>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</si>
  <si>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</si>
  <si>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</si>
  <si>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</si>
  <si>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</si>
  <si>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</si>
  <si>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</si>
  <si>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</si>
  <si>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</si>
  <si>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</si>
  <si>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</si>
  <si>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</si>
  <si>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</si>
  <si>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</si>
  <si>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</si>
  <si>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</si>
  <si>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</si>
  <si>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</si>
  <si>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</si>
  <si>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</si>
  <si>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</si>
  <si>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</si>
  <si>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</si>
  <si>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</si>
  <si>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</si>
  <si>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</si>
  <si>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</si>
  <si>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</si>
  <si>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</si>
  <si>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</si>
  <si>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</si>
  <si>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</si>
  <si>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</si>
  <si>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</si>
  <si>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</si>
  <si>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</si>
  <si>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</si>
  <si>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</si>
  <si>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</si>
  <si>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</si>
  <si>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</si>
  <si>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</si>
  <si>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</si>
  <si>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</si>
  <si>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</si>
  <si>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</si>
  <si>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</si>
  <si>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</si>
  <si>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</si>
  <si>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</si>
  <si>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</si>
  <si>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</si>
  <si>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</si>
  <si>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</si>
  <si>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</si>
  <si>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</si>
  <si>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</si>
  <si>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</si>
  <si>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</si>
  <si>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</si>
  <si>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</si>
  <si>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</si>
  <si>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</si>
  <si>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</si>
  <si>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</si>
  <si>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</si>
  <si>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</si>
  <si>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</si>
  <si>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</si>
  <si>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</si>
  <si>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</si>
  <si>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</si>
  <si>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</si>
  <si>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</si>
  <si>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</si>
  <si>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</si>
  <si>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</si>
  <si>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</si>
  <si>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</si>
  <si>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</si>
  <si>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</si>
  <si>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</si>
  <si>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</si>
  <si>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</si>
  <si>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</si>
  <si>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</si>
  <si>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</si>
  <si>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</si>
  <si>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</si>
  <si>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</si>
  <si>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</si>
  <si>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</si>
  <si>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</si>
  <si>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</si>
  <si>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</si>
  <si>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</si>
  <si>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</si>
  <si>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</si>
  <si>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</si>
  <si>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</si>
  <si>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</si>
  <si>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</si>
  <si>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</si>
  <si>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</si>
  <si>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</si>
  <si>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</si>
  <si>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</si>
  <si>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</si>
  <si>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</si>
  <si>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</si>
  <si>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</si>
  <si>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</si>
  <si>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</si>
  <si>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</si>
  <si>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</si>
  <si>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</si>
  <si>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</si>
  <si>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</si>
  <si>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</si>
  <si>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</si>
  <si>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</si>
  <si>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</si>
  <si>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</si>
  <si>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</si>
  <si>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</si>
  <si>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</si>
  <si>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</si>
  <si>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</si>
  <si>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</si>
  <si>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</si>
  <si>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</si>
  <si>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</si>
  <si>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</si>
  <si>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</si>
  <si>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</si>
  <si>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</si>
  <si>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</si>
  <si>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</si>
  <si>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</si>
  <si>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</si>
  <si>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</si>
  <si>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</si>
  <si>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</si>
  <si>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</si>
  <si>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</si>
  <si>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</si>
  <si>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</si>
  <si>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</si>
  <si>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</si>
  <si>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</si>
  <si>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</si>
  <si>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</si>
  <si>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</si>
  <si>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</si>
  <si>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</si>
  <si>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</si>
  <si>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</si>
  <si>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</si>
  <si>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</si>
  <si>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</si>
  <si>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</si>
  <si>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</si>
  <si>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</si>
  <si>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</si>
  <si>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</si>
  <si>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</si>
  <si>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</si>
  <si>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</si>
  <si>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</si>
  <si>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</si>
  <si>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</si>
  <si>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</si>
  <si>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</si>
  <si>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</si>
  <si>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</si>
  <si>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</si>
  <si>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</si>
  <si>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</si>
  <si>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</si>
  <si>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</si>
  <si>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</si>
  <si>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</si>
  <si>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</si>
  <si>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</si>
  <si>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</si>
  <si>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</si>
  <si>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</si>
  <si>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</si>
  <si>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</si>
  <si>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</si>
  <si>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</si>
  <si>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</si>
  <si>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</si>
  <si>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</si>
  <si>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</si>
  <si>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</si>
  <si>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</si>
  <si>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</si>
  <si>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</si>
  <si>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</si>
  <si>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</si>
  <si>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</si>
  <si>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</si>
  <si>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</si>
  <si>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</si>
  <si>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</si>
  <si>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</si>
  <si>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</si>
  <si>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</si>
  <si>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</si>
  <si>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</si>
  <si>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</si>
  <si>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</si>
  <si>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</si>
  <si>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</si>
  <si>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</si>
  <si>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</si>
  <si>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</si>
  <si>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</si>
  <si>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</si>
  <si>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</si>
  <si>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</si>
  <si>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</si>
  <si>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</si>
  <si>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</si>
  <si>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</si>
  <si>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</si>
  <si>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</si>
  <si>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</si>
  <si>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</si>
  <si>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</si>
  <si>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</si>
  <si>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</si>
  <si>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</si>
  <si>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</si>
  <si>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</si>
  <si>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</si>
  <si>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</si>
  <si>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</si>
  <si>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</si>
  <si>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</si>
  <si>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</si>
  <si>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</si>
  <si>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</si>
  <si>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</si>
  <si>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</si>
  <si>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</si>
  <si>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</si>
  <si>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</si>
  <si>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</si>
  <si>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</si>
  <si>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</si>
  <si>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</si>
  <si>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</si>
  <si>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</si>
  <si>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</si>
  <si>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</si>
  <si>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</si>
  <si>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</si>
  <si>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</si>
  <si>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</si>
  <si>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</si>
  <si>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</si>
  <si>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</si>
  <si>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</si>
  <si>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</si>
  <si>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</si>
  <si>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</si>
  <si>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</si>
  <si>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</si>
  <si>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</si>
  <si>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</si>
  <si>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</si>
  <si>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</si>
  <si>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</si>
  <si>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</si>
  <si>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</si>
  <si>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</si>
  <si>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</si>
  <si>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</si>
  <si>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</si>
  <si>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</si>
  <si>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</si>
  <si>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</si>
  <si>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</si>
  <si>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</si>
  <si>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</si>
  <si>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</si>
  <si>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</si>
  <si>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</si>
  <si>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</si>
  <si>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</si>
  <si>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</si>
  <si>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</si>
  <si>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</si>
  <si>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</si>
  <si>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</si>
  <si>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</si>
  <si>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</si>
  <si>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</si>
  <si>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</si>
  <si>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</si>
  <si>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</si>
  <si>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</si>
  <si>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</si>
  <si>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</si>
  <si>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</si>
  <si>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</si>
  <si>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</si>
  <si>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</si>
  <si>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</si>
  <si>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</si>
  <si>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</si>
  <si>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</si>
  <si>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</si>
  <si>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</si>
  <si>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</si>
  <si>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</si>
  <si>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</si>
  <si>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</si>
  <si>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</si>
  <si>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</si>
  <si>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</si>
  <si>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</si>
  <si>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</si>
  <si>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</si>
  <si>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</si>
  <si>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</si>
  <si>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</si>
  <si>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</si>
  <si>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</si>
  <si>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</si>
  <si>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</si>
  <si>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</si>
  <si>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</si>
  <si>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</si>
  <si>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</si>
  <si>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</si>
  <si>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</si>
  <si>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</si>
  <si>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</si>
  <si>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</si>
  <si>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</si>
  <si>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</si>
  <si>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</si>
  <si>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</si>
  <si>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</si>
  <si>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</si>
  <si>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</si>
  <si>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</si>
  <si>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</si>
  <si>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</si>
  <si>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</si>
  <si>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</si>
  <si>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</si>
  <si>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</si>
  <si>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</si>
  <si>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</si>
  <si>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</si>
  <si>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</si>
  <si>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</si>
  <si>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</si>
  <si>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</si>
  <si>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</si>
  <si>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</si>
  <si>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</si>
  <si>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</si>
  <si>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</si>
  <si>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</si>
  <si>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</si>
  <si>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</si>
  <si>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</si>
  <si>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</si>
  <si>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</si>
  <si>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</si>
  <si>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</si>
  <si>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</si>
  <si>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</si>
  <si>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</si>
  <si>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</si>
  <si>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</si>
  <si>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</si>
  <si>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</si>
  <si>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</si>
  <si>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</si>
  <si>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</si>
  <si>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</si>
  <si>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</si>
  <si>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</si>
  <si>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</si>
  <si>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</si>
  <si>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</si>
  <si>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</si>
  <si>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</si>
  <si>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</si>
  <si>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</si>
  <si>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</si>
  <si>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</si>
  <si>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</si>
  <si>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</si>
  <si>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</si>
  <si>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</si>
  <si>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</si>
  <si>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</si>
  <si>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</si>
  <si>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</si>
  <si>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</si>
  <si>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</si>
  <si>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</si>
  <si>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</si>
  <si>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</si>
  <si>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</si>
  <si>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</si>
  <si>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</si>
  <si>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</si>
  <si>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</si>
  <si>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</si>
  <si>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</si>
  <si>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</si>
  <si>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</si>
  <si>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</si>
  <si>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</si>
  <si>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</si>
  <si>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</si>
  <si>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</si>
  <si>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</si>
  <si>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</si>
  <si>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</si>
  <si>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</si>
  <si>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</si>
  <si>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</si>
  <si>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</si>
  <si>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</si>
  <si>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</si>
  <si>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</si>
  <si>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</si>
  <si>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</si>
  <si>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</si>
  <si>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</si>
  <si>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</si>
  <si>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</si>
  <si>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</si>
  <si>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</si>
  <si>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</si>
  <si>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</si>
  <si>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</si>
  <si>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</si>
  <si>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</si>
  <si>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</si>
  <si>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</si>
  <si>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</si>
  <si>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</si>
  <si>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</si>
  <si>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</si>
  <si>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</si>
  <si>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</si>
  <si>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</si>
  <si>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</si>
  <si>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</si>
  <si>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</si>
  <si>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</si>
  <si>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</si>
  <si>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</si>
  <si>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</si>
  <si>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</si>
  <si>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</si>
  <si>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</si>
  <si>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</si>
  <si>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</si>
  <si>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</si>
  <si>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</si>
  <si>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</si>
  <si>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</si>
  <si>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</si>
  <si>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</si>
  <si>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</si>
  <si>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</si>
  <si>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</si>
  <si>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</si>
  <si>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</si>
  <si>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</si>
  <si>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</si>
  <si>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</si>
  <si>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</si>
  <si>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</si>
  <si>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</si>
  <si>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</si>
  <si>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</si>
  <si>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</si>
  <si>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</si>
  <si>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</si>
  <si>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</si>
  <si>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</si>
  <si>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</si>
  <si>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</si>
  <si>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</si>
  <si>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</si>
  <si>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</si>
  <si>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</si>
  <si>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</si>
  <si>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</si>
  <si>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</si>
  <si>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</si>
  <si>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</si>
  <si>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</si>
  <si>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</si>
  <si>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</si>
  <si>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</si>
  <si>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</si>
  <si>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</si>
  <si>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</si>
  <si>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</si>
  <si>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</si>
  <si>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</si>
  <si>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</si>
  <si>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</si>
  <si>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</si>
  <si>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</si>
  <si>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</si>
  <si>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</si>
  <si>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</si>
  <si>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</si>
  <si>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</si>
  <si>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</si>
  <si>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</si>
  <si>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</si>
  <si>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</si>
  <si>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</si>
  <si>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</si>
  <si>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</si>
  <si>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</si>
  <si>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</si>
  <si>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</si>
  <si>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</si>
  <si>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</si>
  <si>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</si>
  <si>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</si>
  <si>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</si>
  <si>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</si>
  <si>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</si>
  <si>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</si>
  <si>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</si>
  <si>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</si>
  <si>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</si>
  <si>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</si>
  <si>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</si>
  <si>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</si>
  <si>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</si>
  <si>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</si>
  <si>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</si>
  <si>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</si>
  <si>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</si>
  <si>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</si>
  <si>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</si>
  <si>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</si>
  <si>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</si>
  <si>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</si>
  <si>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</si>
  <si>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</si>
  <si>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</si>
  <si>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</si>
  <si>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</si>
  <si>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</si>
  <si>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</si>
  <si>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</si>
  <si>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</si>
  <si>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</si>
  <si>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</si>
  <si>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</si>
  <si>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</si>
  <si>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</si>
  <si>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</si>
  <si>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</si>
  <si>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</si>
  <si>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</si>
  <si>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</si>
  <si>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</si>
  <si>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</si>
  <si>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</si>
  <si>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</si>
  <si>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</si>
  <si>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</si>
  <si>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</si>
  <si>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</si>
  <si>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</si>
  <si>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</si>
  <si>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</si>
  <si>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</si>
  <si>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</si>
  <si>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</si>
  <si>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</si>
  <si>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</si>
  <si>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</si>
  <si>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</si>
  <si>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</si>
  <si>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</si>
  <si>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</si>
  <si>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</si>
  <si>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</si>
  <si>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</si>
  <si>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</si>
  <si>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</si>
  <si>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</si>
  <si>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</si>
  <si>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</si>
  <si>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</si>
  <si>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</si>
  <si>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</si>
  <si>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</si>
  <si>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</si>
  <si>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</si>
  <si>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</si>
  <si>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</si>
  <si>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</si>
  <si>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</si>
  <si>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</si>
  <si>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</si>
  <si>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</si>
  <si>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</si>
  <si>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</si>
  <si>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</si>
  <si>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</si>
  <si>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</si>
  <si>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</si>
  <si>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</si>
  <si>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</si>
  <si>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</si>
  <si>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</si>
  <si>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</si>
  <si>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</si>
  <si>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</si>
  <si>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</si>
  <si>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</si>
  <si>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</si>
  <si>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</si>
  <si>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</si>
  <si>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</si>
  <si>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</si>
  <si>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</si>
  <si>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</si>
  <si>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</si>
  <si>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</si>
  <si>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</si>
  <si>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</si>
  <si>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</si>
  <si>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</si>
  <si>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</si>
  <si>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</si>
  <si>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</si>
  <si>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</si>
  <si>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</si>
  <si>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</si>
  <si>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</si>
  <si>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</si>
  <si>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</si>
  <si>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</si>
  <si>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</si>
  <si>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</si>
  <si>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</si>
  <si>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</si>
  <si>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</si>
  <si>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</si>
  <si>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</si>
  <si>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</si>
  <si>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</si>
  <si>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</si>
  <si>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</si>
  <si>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</si>
  <si>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</si>
  <si>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</si>
  <si>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</si>
  <si>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</si>
  <si>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</si>
  <si>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</si>
  <si>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</si>
  <si>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</si>
  <si>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</si>
  <si>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</si>
  <si>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</si>
  <si>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</si>
  <si>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</si>
  <si>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</si>
  <si>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</si>
  <si>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</si>
  <si>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</si>
  <si>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</si>
  <si>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</si>
  <si>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</si>
  <si>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</si>
  <si>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</si>
  <si>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</si>
  <si>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</si>
  <si>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</si>
  <si>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</si>
  <si>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</si>
  <si>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</si>
  <si>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</si>
  <si>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</si>
  <si>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</si>
  <si>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</si>
  <si>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</si>
  <si>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</si>
  <si>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</si>
  <si>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</si>
  <si>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</si>
  <si>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</si>
  <si>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</si>
  <si>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</si>
  <si>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</si>
  <si>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</si>
  <si>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</si>
  <si>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</si>
  <si>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</si>
  <si>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</si>
  <si>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</si>
  <si>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</si>
  <si>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</si>
  <si>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</si>
  <si>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</si>
  <si>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</si>
  <si>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</si>
  <si>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</si>
  <si>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</si>
  <si>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</si>
  <si>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</si>
  <si>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</si>
  <si>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</si>
  <si>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</si>
  <si>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</si>
  <si>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</si>
  <si>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</si>
  <si>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</si>
  <si>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</si>
  <si>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</si>
  <si>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</si>
  <si>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</si>
  <si>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</si>
  <si>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</si>
  <si>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</si>
  <si>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</si>
  <si>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</si>
  <si>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</si>
  <si>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</si>
  <si>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</si>
  <si>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</si>
  <si>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</si>
  <si>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</si>
  <si>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</si>
  <si>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</si>
  <si>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</si>
  <si>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</si>
  <si>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</si>
  <si>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</si>
  <si>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</si>
  <si>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</si>
  <si>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</si>
  <si>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</si>
  <si>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</si>
  <si>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</si>
  <si>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</si>
  <si>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</si>
  <si>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</si>
  <si>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</si>
  <si>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</si>
  <si>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</si>
  <si>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</si>
  <si>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</si>
  <si>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</si>
  <si>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</si>
  <si>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</si>
  <si>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</si>
  <si>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</si>
  <si>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</si>
  <si>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</si>
  <si>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</si>
  <si>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</si>
  <si>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</si>
  <si>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</si>
  <si>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</si>
  <si>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</si>
  <si>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</si>
  <si>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</si>
  <si>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</si>
  <si>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</si>
  <si>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</si>
  <si>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</si>
  <si>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</si>
  <si>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</si>
  <si>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</si>
  <si>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</si>
  <si>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</si>
  <si>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</si>
  <si>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</si>
  <si>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</si>
  <si>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</si>
  <si>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</si>
  <si>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</si>
  <si>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</si>
  <si>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</si>
  <si>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</si>
  <si>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</si>
  <si>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</si>
  <si>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</si>
  <si>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</si>
  <si>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</si>
  <si>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</si>
  <si>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</si>
  <si>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</si>
  <si>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</si>
  <si>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</si>
  <si>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</si>
  <si>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</si>
  <si>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</si>
  <si>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</si>
  <si>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</si>
  <si>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</si>
  <si>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</si>
  <si>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</si>
  <si>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</si>
  <si>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</si>
  <si>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</si>
  <si>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</si>
  <si>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</si>
  <si>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</si>
  <si>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</si>
  <si>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</si>
  <si>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</si>
  <si>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</si>
  <si>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</si>
  <si>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</si>
  <si>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</si>
  <si>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</si>
  <si>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</si>
  <si>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</si>
  <si>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</si>
  <si>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</si>
  <si>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</si>
  <si>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</si>
  <si>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</si>
  <si>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</si>
  <si>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</si>
  <si>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</si>
  <si>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</si>
  <si>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</si>
  <si>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</si>
  <si>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</si>
  <si>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</si>
  <si>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</si>
  <si>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</si>
  <si>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</si>
  <si>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</si>
  <si>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</si>
  <si>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</si>
  <si>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</si>
  <si>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</si>
  <si>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</si>
  <si>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</si>
  <si>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</si>
  <si>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</si>
  <si>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</si>
  <si>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</si>
  <si>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</si>
  <si>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</si>
  <si>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</si>
  <si>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</si>
  <si>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</si>
  <si>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</si>
  <si>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</si>
  <si>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</si>
  <si>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</si>
  <si>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</si>
  <si>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</si>
  <si>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</si>
  <si>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</si>
  <si>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</si>
  <si>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</si>
  <si>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</si>
  <si>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</si>
  <si>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</si>
  <si>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</si>
  <si>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</si>
  <si>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</si>
  <si>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</si>
  <si>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</si>
  <si>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</si>
  <si>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</si>
  <si>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</si>
  <si>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</si>
  <si>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</si>
  <si>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</si>
  <si>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</si>
  <si>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</si>
  <si>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</si>
  <si>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</si>
  <si>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</si>
  <si>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</si>
  <si>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</si>
  <si>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</si>
  <si>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</si>
  <si>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</si>
  <si>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</si>
  <si>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</si>
  <si>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</si>
  <si>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</si>
  <si>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</si>
  <si>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</si>
  <si>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</si>
  <si>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</si>
  <si>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</si>
  <si>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</si>
  <si>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</si>
  <si>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</si>
  <si>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</si>
  <si>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</si>
  <si>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</si>
  <si>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</si>
  <si>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</si>
  <si>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</si>
  <si>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</si>
  <si>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</si>
  <si>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</si>
  <si>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</si>
  <si>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</si>
  <si>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</si>
  <si>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</si>
  <si>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</si>
  <si>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</si>
  <si>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</si>
  <si>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</si>
  <si>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</si>
  <si>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</si>
  <si>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</si>
  <si>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</si>
  <si>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</si>
  <si>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</si>
  <si>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</si>
  <si>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</si>
  <si>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</si>
  <si>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</si>
  <si>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</si>
  <si>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</si>
  <si>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</si>
  <si>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</si>
  <si>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</si>
  <si>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</si>
  <si>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</si>
  <si>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</si>
  <si>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</si>
  <si>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</si>
  <si>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</si>
  <si>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</si>
  <si>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</si>
  <si>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</si>
  <si>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</si>
  <si>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</si>
  <si>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</si>
  <si>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</si>
  <si>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</si>
  <si>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</si>
  <si>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</si>
  <si>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</si>
  <si>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</si>
  <si>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</si>
  <si>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</si>
  <si>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</si>
  <si>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</si>
  <si>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</si>
  <si>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</si>
  <si>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</si>
  <si>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</si>
  <si>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</si>
  <si>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</si>
  <si>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</si>
  <si>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</si>
  <si>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</si>
  <si>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</si>
  <si>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</si>
  <si>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</si>
  <si>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</si>
  <si>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</si>
  <si>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</si>
  <si>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</si>
  <si>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</si>
  <si>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</si>
  <si>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</si>
  <si>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</si>
  <si>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</si>
  <si>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</si>
  <si>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</si>
  <si>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</si>
  <si>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</si>
  <si>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</si>
  <si>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</si>
  <si>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</si>
  <si>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</si>
  <si>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</si>
  <si>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</si>
  <si>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</si>
  <si>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</si>
  <si>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</si>
  <si>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</si>
  <si>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</si>
  <si>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</si>
  <si>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</si>
  <si>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</si>
  <si>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</si>
  <si>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</si>
  <si>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</si>
  <si>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</si>
  <si>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</si>
  <si>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</si>
  <si>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</si>
  <si>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</si>
  <si>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</si>
  <si>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</si>
  <si>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</si>
  <si>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</si>
  <si>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</si>
  <si>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</si>
  <si>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</si>
  <si>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</si>
  <si>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</si>
  <si>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</si>
  <si>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</si>
  <si>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</si>
  <si>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</si>
  <si>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</si>
  <si>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</si>
  <si>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</si>
  <si>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</si>
  <si>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</si>
  <si>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</si>
  <si>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</si>
  <si>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</si>
  <si>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</si>
  <si>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</si>
  <si>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</si>
  <si>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</si>
  <si>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</si>
  <si>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</si>
  <si>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</si>
  <si>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</si>
  <si>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</si>
  <si>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</si>
  <si>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</si>
  <si>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</si>
  <si>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</si>
  <si>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</si>
  <si>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</si>
  <si>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</si>
  <si>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</si>
  <si>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</si>
  <si>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</si>
  <si>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</si>
  <si>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</si>
  <si>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</si>
  <si>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</si>
  <si>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</si>
  <si>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</si>
  <si>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</si>
  <si>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</si>
  <si>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</si>
  <si>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</si>
  <si>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</si>
  <si>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</si>
  <si>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</si>
  <si>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</si>
  <si>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</si>
  <si>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</si>
  <si>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</si>
  <si>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</si>
  <si>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</si>
  <si>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</si>
  <si>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</si>
  <si>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</si>
  <si>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</si>
  <si>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</si>
  <si>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</si>
  <si>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</si>
  <si>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</si>
  <si>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</si>
  <si>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</si>
  <si>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</si>
  <si>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</si>
  <si>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</si>
  <si>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</si>
  <si>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</si>
  <si>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</si>
  <si>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</si>
  <si>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</si>
  <si>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</si>
  <si>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</si>
  <si>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</si>
  <si>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</si>
  <si>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</si>
  <si>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</si>
  <si>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</si>
  <si>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</si>
  <si>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</si>
  <si>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</si>
  <si>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</si>
  <si>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</si>
  <si>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</si>
  <si>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</si>
  <si>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</si>
  <si>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</si>
  <si>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</si>
  <si>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</si>
  <si>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</si>
  <si>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</si>
  <si>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</si>
  <si>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</si>
  <si>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</si>
  <si>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</si>
  <si>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</si>
  <si>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</si>
  <si>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</si>
  <si>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</si>
  <si>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</si>
  <si>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</si>
  <si>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</si>
  <si>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</si>
  <si>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</si>
  <si>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</si>
  <si>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</si>
  <si>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</si>
  <si>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</si>
  <si>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</si>
  <si>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</si>
  <si>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</si>
  <si>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</si>
  <si>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</si>
  <si>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</si>
  <si>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</si>
  <si>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</si>
  <si>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</si>
  <si>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</si>
  <si>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</si>
  <si>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</si>
  <si>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</si>
  <si>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</si>
  <si>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</si>
  <si>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</si>
  <si>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</si>
  <si>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</si>
  <si>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</si>
  <si>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</si>
  <si>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</si>
  <si>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</si>
  <si>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</si>
  <si>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</si>
  <si>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</si>
  <si>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</si>
  <si>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</si>
  <si>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</si>
  <si>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</si>
  <si>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</si>
  <si>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</si>
  <si>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</si>
  <si>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</si>
  <si>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</si>
  <si>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</si>
  <si>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</si>
  <si>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</si>
  <si>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</si>
  <si>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</si>
  <si>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</si>
  <si>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</si>
  <si>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</si>
  <si>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</si>
  <si>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</si>
  <si>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</si>
  <si>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</si>
  <si>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</si>
  <si>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</si>
  <si>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</si>
  <si>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</si>
  <si>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</si>
  <si>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</si>
  <si>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</si>
  <si>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</si>
  <si>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</si>
  <si>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</si>
  <si>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</si>
  <si>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</si>
  <si>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</si>
  <si>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</si>
  <si>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</si>
  <si>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</si>
  <si>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</si>
  <si>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</si>
  <si>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</si>
  <si>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</si>
  <si>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</si>
  <si>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</si>
  <si>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</si>
  <si>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</si>
  <si>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</si>
  <si>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</si>
  <si>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</si>
  <si>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</si>
  <si>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</si>
  <si>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</si>
  <si>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</si>
  <si>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</si>
  <si>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</si>
  <si>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</si>
  <si>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</si>
  <si>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</si>
  <si>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</si>
  <si>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</si>
  <si>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</si>
  <si>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</si>
  <si>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</si>
  <si>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</si>
  <si>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</si>
  <si>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</si>
  <si>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</si>
  <si>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</si>
  <si>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</si>
  <si>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</si>
  <si>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</si>
  <si>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</si>
  <si>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</si>
  <si>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</si>
  <si>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</si>
  <si>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</si>
  <si>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</si>
  <si>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</si>
  <si>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</si>
  <si>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</si>
  <si>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</si>
  <si>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</si>
  <si>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</si>
  <si>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</si>
  <si>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</si>
  <si>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Energiebedarf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</si>
  <si>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</si>
  <si>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</si>
  <si>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</si>
  <si>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</si>
  <si>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</si>
  <si>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</si>
  <si>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</si>
  <si>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</si>
  <si>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</si>
  <si>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</si>
  <si>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</si>
  <si>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</si>
  <si>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Sportplatz</t>
  </si>
  <si>
    <t>Place de sport</t>
  </si>
  <si>
    <t>Campo sportivo</t>
  </si>
  <si>
    <t>Heures à pleine charge</t>
  </si>
  <si>
    <t>Ore a pieno carico</t>
  </si>
  <si>
    <t>Posizione</t>
  </si>
  <si>
    <t>Lingua</t>
  </si>
  <si>
    <t>Luogo</t>
  </si>
  <si>
    <t>Indirizzo</t>
  </si>
  <si>
    <t>Nome</t>
  </si>
  <si>
    <t>CAP</t>
  </si>
  <si>
    <t>Fabbisogno di electtricità</t>
  </si>
  <si>
    <t>Risparmio</t>
  </si>
  <si>
    <t>Azienda</t>
  </si>
  <si>
    <t>Testweg 4</t>
  </si>
  <si>
    <t>Volllast-stunden</t>
  </si>
  <si>
    <t>Totale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</si>
  <si>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</si>
  <si>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</si>
  <si>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</si>
  <si>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</si>
  <si>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</si>
  <si>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</si>
  <si>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</si>
  <si>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Eingabefeld (Mehrfachauswahl)</t>
  </si>
  <si>
    <t>Beispielwerke AG</t>
  </si>
  <si>
    <t>kW</t>
  </si>
  <si>
    <t>Ne remplir qu'un seul des deux champs</t>
  </si>
  <si>
    <t>Compilare solo uno dei due campi</t>
  </si>
  <si>
    <t xml:space="preserve">Modellkennzeichnung </t>
  </si>
  <si>
    <t xml:space="preserve">Identification du modèle </t>
  </si>
  <si>
    <t xml:space="preserve">Identificazione del modello </t>
  </si>
  <si>
    <t>Marke/Hersteller</t>
  </si>
  <si>
    <t>Marque/fabricant</t>
  </si>
  <si>
    <t>Marchio/produttore</t>
  </si>
  <si>
    <t>Nur eines der beiden Felder ausfüllen</t>
  </si>
  <si>
    <t>Campo di inserimento</t>
  </si>
  <si>
    <t>Campo di inserimento (scelta multipla)</t>
  </si>
  <si>
    <t>Gesamte elektrische Leistung</t>
  </si>
  <si>
    <t>Puissance électrique totale</t>
  </si>
  <si>
    <t>Potenza elettrica totale</t>
  </si>
  <si>
    <t>Vecchio impianto</t>
  </si>
  <si>
    <t>Nuovo impianto</t>
  </si>
  <si>
    <t>Beispiel AG</t>
  </si>
  <si>
    <t>Testweg 5c</t>
  </si>
  <si>
    <t xml:space="preserve">Stromverbrauch </t>
  </si>
  <si>
    <t>Consommation d'électricité</t>
  </si>
  <si>
    <t>Consumo di elettricità</t>
  </si>
  <si>
    <t>Nur eine Zeile pro (unabhängige) Anlage ausfüllen</t>
  </si>
  <si>
    <t>Ne remplir qu'une seule ligne par installation (indépendante)</t>
  </si>
  <si>
    <t>Compilare solo una riga per ogni allegato (indipendente)</t>
  </si>
  <si>
    <t>Comune</t>
  </si>
  <si>
    <t>Komfortklima (Direktverdampfung)</t>
  </si>
  <si>
    <t>Komfortklima (Kälteträger)</t>
  </si>
  <si>
    <t>Pluskühlung</t>
  </si>
  <si>
    <t>Minuskühlung</t>
  </si>
  <si>
    <t>IT Server (21 °C)</t>
  </si>
  <si>
    <t>IT Server (28 °C)</t>
  </si>
  <si>
    <t>Luft (Direktverdampfung)</t>
  </si>
  <si>
    <t>Wasser (Rückkühler)</t>
  </si>
  <si>
    <t>Reinigung Rückkühler / Verflüssiger</t>
  </si>
  <si>
    <t>Eau (aérorefroidisseur)</t>
  </si>
  <si>
    <t>Air (évaporation directe)</t>
  </si>
  <si>
    <t>Sauber</t>
  </si>
  <si>
    <t>Propre</t>
  </si>
  <si>
    <t>Sale</t>
  </si>
  <si>
    <t>Verschmutzt</t>
  </si>
  <si>
    <t>Alter Zustand</t>
  </si>
  <si>
    <t>Ancien état</t>
  </si>
  <si>
    <t>Nouvel état</t>
  </si>
  <si>
    <t>Neuer Zustand</t>
  </si>
  <si>
    <t>Anlage</t>
  </si>
  <si>
    <t>Installation</t>
  </si>
  <si>
    <t>Impianto</t>
  </si>
  <si>
    <t>T0</t>
  </si>
  <si>
    <t>Tc</t>
  </si>
  <si>
    <t>EER</t>
  </si>
  <si>
    <t>E</t>
  </si>
  <si>
    <t>°C</t>
  </si>
  <si>
    <t>h</t>
  </si>
  <si>
    <t>dT_km</t>
  </si>
  <si>
    <t>dT_rk</t>
  </si>
  <si>
    <t>inter DT=5</t>
  </si>
  <si>
    <t>inter DT=10</t>
  </si>
  <si>
    <t>Etot</t>
  </si>
  <si>
    <t>MWh/a</t>
  </si>
  <si>
    <t>Tc_min</t>
  </si>
  <si>
    <t>A</t>
  </si>
  <si>
    <t>B</t>
  </si>
  <si>
    <t>C</t>
  </si>
  <si>
    <t>Tpt</t>
  </si>
  <si>
    <t>D'</t>
  </si>
  <si>
    <t>x</t>
  </si>
  <si>
    <t>T FC</t>
  </si>
  <si>
    <t>Free-Cooling 
(IT Server)</t>
  </si>
  <si>
    <t>Anwendung</t>
  </si>
  <si>
    <t>Application</t>
  </si>
  <si>
    <t>Applicazione</t>
  </si>
  <si>
    <t>Nettoyage de l'aéroréfrigérant / condenseur</t>
  </si>
  <si>
    <t>Wärmeträger</t>
  </si>
  <si>
    <t>Caloporteur</t>
  </si>
  <si>
    <t>Aria (evaporazione diretta)</t>
  </si>
  <si>
    <t>Acqua (raffreddatore ad aria)</t>
  </si>
  <si>
    <t>Pulito</t>
  </si>
  <si>
    <t>Sporco</t>
  </si>
  <si>
    <t>Server IT (21 °C)</t>
  </si>
  <si>
    <t>Server IT (28 °C)</t>
  </si>
  <si>
    <t>Serveur IT (21 °C)</t>
  </si>
  <si>
    <t>Serveur IT (28 °C)</t>
  </si>
  <si>
    <t>Climatisation (évaporation directe)</t>
  </si>
  <si>
    <t>Climatisation (fluide frigorigène)</t>
  </si>
  <si>
    <t>Froid positif</t>
  </si>
  <si>
    <t>Froid négatif</t>
  </si>
  <si>
    <t>Refroidissement de processus</t>
  </si>
  <si>
    <t>Prozesskälte</t>
  </si>
  <si>
    <t>Raffreddamento di processo</t>
  </si>
  <si>
    <t>Climatizzazione (evaporazione diretta)</t>
  </si>
  <si>
    <t>Climatizzazione (refrigerante)</t>
  </si>
  <si>
    <t>Raffreddamento positivo</t>
  </si>
  <si>
    <t>Refrigerazione</t>
  </si>
  <si>
    <t>Fluido di trasferimento del calore</t>
  </si>
  <si>
    <t>Pulizia dell'unità Rooftop / condensatore</t>
  </si>
  <si>
    <t>Alpensüdseite</t>
  </si>
  <si>
    <t>Sud des Alpes</t>
  </si>
  <si>
    <t>Sud delle Alpi</t>
  </si>
  <si>
    <t>Westschweiz und Wallis</t>
  </si>
  <si>
    <t>Romandie et Valais</t>
  </si>
  <si>
    <t>Svizzera romanda e Vallese</t>
  </si>
  <si>
    <t>Deutschschweiz</t>
  </si>
  <si>
    <t>Suisse alémanique</t>
  </si>
  <si>
    <t>Svizzera tedesca</t>
  </si>
  <si>
    <t>LO</t>
  </si>
  <si>
    <t>use</t>
  </si>
  <si>
    <t>loc</t>
  </si>
  <si>
    <t>ID</t>
  </si>
  <si>
    <t>alt</t>
  </si>
  <si>
    <t>neu</t>
  </si>
  <si>
    <t>dirty</t>
  </si>
  <si>
    <t>water</t>
  </si>
  <si>
    <t>BIN</t>
  </si>
  <si>
    <t>Demand</t>
  </si>
  <si>
    <t>Auslegung: Kälteleistung</t>
  </si>
  <si>
    <t>Auslegung: Aussen-temperatur</t>
  </si>
  <si>
    <t>Dimension.: température extérieure</t>
  </si>
  <si>
    <t>Dimension.: puissance frigorifique</t>
  </si>
  <si>
    <t>Dimension.: capacità di raffreddamento</t>
  </si>
  <si>
    <t>Dimension.: temperatura esterna</t>
  </si>
  <si>
    <t>Q</t>
  </si>
  <si>
    <t>Entreprise ABC SA</t>
  </si>
  <si>
    <t>Chemin de l'Exemple 1</t>
  </si>
  <si>
    <t>Minimale Verglüssigungs-temperatur</t>
  </si>
  <si>
    <t>Température de condensation minimale</t>
  </si>
  <si>
    <t>Temperatura minima di condensazione</t>
  </si>
  <si>
    <t>Umgebungs-temperatur der Messung</t>
  </si>
  <si>
    <t>Température ambiante de la mesure</t>
  </si>
  <si>
    <t>Temperatura ambiente di misurazione</t>
  </si>
  <si>
    <t>ΔTPos (Messung Tein - Tamb)</t>
  </si>
  <si>
    <t>ΔTPos (mesure Tein - Tamb)</t>
  </si>
  <si>
    <t>ΔTPos (misurazione Tein - Tamb)</t>
  </si>
  <si>
    <t>K</t>
  </si>
  <si>
    <t>T pos</t>
  </si>
  <si>
    <t>Geografische Region  
(≥ 800 m)</t>
  </si>
  <si>
    <t>Région géographique 
(≥ 800 m)</t>
  </si>
  <si>
    <t>Area geografica 
(≥ 800 m)</t>
  </si>
  <si>
    <t>Nutzungs-temperatur</t>
  </si>
  <si>
    <t>Température d'utilisation</t>
  </si>
  <si>
    <t>Temperatura di utilizzo</t>
  </si>
  <si>
    <t>Verdampfungs-temperatur</t>
  </si>
  <si>
    <t>Température d'évaporation</t>
  </si>
  <si>
    <t>Temperatura di vaporizzazione</t>
  </si>
  <si>
    <t>Version/Versione 1.0</t>
  </si>
  <si>
    <t>UID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</si>
</sst>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b/>
      <i/>
      <sz val="10"/>
      <color rgb="FFFF000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9"/>
      <color rgb="FFFF0000"/>
      <name val="Arial"/>
      <family val="2"/>
    </font>
    <font>
      <b/>
      <sz val="10"/>
      <color theme="0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9" fontId="29" fillId="0" borderId="0" applyFont="0" applyFill="0" applyBorder="0" applyAlignment="0" applyProtection="0"/>
  </cellStyleXfs>
  <cellXfs count="109">
    <xf numFmtId="0" fontId="0" fillId="0" borderId="0" xfId="0"/>
    <xf numFmtId="0" fontId="15" fillId="0" borderId="1" xfId="0" applyFont="1" applyBorder="1" applyAlignment="1">
      <alignment vertical="center"/>
    </xf>
    <xf numFmtId="0" fontId="16" fillId="0" borderId="0" xfId="0" applyFont="1"/>
    <xf numFmtId="0" fontId="16" fillId="0" borderId="1" xfId="0" applyFont="1" applyBorder="1"/>
    <xf numFmtId="14" fontId="16" fillId="0" borderId="0" xfId="0" applyNumberFormat="1" applyFont="1"/>
    <xf numFmtId="0" fontId="17" fillId="0" borderId="0" xfId="1" applyFont="1"/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left" vertical="center" indent="1"/>
      <protection locked="0"/>
    </xf>
    <xf numFmtId="0" fontId="10" fillId="2" borderId="1" xfId="0" applyFont="1" applyFill="1" applyBorder="1" applyAlignment="1" applyProtection="1">
      <alignment horizontal="left" vertical="center" indent="1"/>
      <protection hidden="1"/>
    </xf>
    <xf numFmtId="4" fontId="10" fillId="0" borderId="1" xfId="0" applyNumberFormat="1" applyFont="1" applyBorder="1" applyAlignment="1" applyProtection="1">
      <alignment horizontal="right" vertical="center" indent="1"/>
      <protection hidden="1"/>
    </xf>
    <xf numFmtId="0" fontId="11" fillId="2" borderId="0" xfId="0" applyFont="1" applyFill="1" applyProtection="1"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left" indent="1"/>
      <protection hidden="1"/>
    </xf>
    <xf numFmtId="0" fontId="18" fillId="2" borderId="0" xfId="0" applyFont="1" applyFill="1" applyAlignment="1" applyProtection="1">
      <alignment horizontal="left" indent="1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Protection="1"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22" fillId="2" borderId="1" xfId="0" applyFont="1" applyFill="1" applyBorder="1" applyAlignment="1" applyProtection="1">
      <alignment horizontal="center" vertical="center" wrapText="1"/>
      <protection hidden="1"/>
    </xf>
    <xf numFmtId="0" fontId="22" fillId="2" borderId="1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vertical="center"/>
      <protection hidden="1"/>
    </xf>
    <xf numFmtId="0" fontId="10" fillId="2" borderId="0" xfId="0" applyFont="1" applyFill="1" applyProtection="1">
      <protection hidden="1"/>
    </xf>
    <xf numFmtId="0" fontId="8" fillId="2" borderId="0" xfId="0" applyFont="1" applyFill="1" applyProtection="1"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9" fillId="2" borderId="0" xfId="0" applyFont="1" applyFill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21" fillId="2" borderId="8" xfId="0" applyFont="1" applyFill="1" applyBorder="1" applyAlignment="1" applyProtection="1">
      <alignment vertical="center" wrapText="1"/>
      <protection hidden="1"/>
    </xf>
    <xf numFmtId="0" fontId="21" fillId="2" borderId="9" xfId="0" applyFont="1" applyFill="1" applyBorder="1" applyAlignment="1" applyProtection="1">
      <alignment vertical="center" wrapText="1"/>
      <protection hidden="1"/>
    </xf>
    <xf numFmtId="0" fontId="21" fillId="2" borderId="4" xfId="0" applyFont="1" applyFill="1" applyBorder="1" applyAlignment="1" applyProtection="1">
      <alignment horizontal="left" vertical="center" wrapText="1" indent="1"/>
      <protection hidden="1"/>
    </xf>
    <xf numFmtId="0" fontId="21" fillId="2" borderId="4" xfId="0" applyFont="1" applyFill="1" applyBorder="1" applyAlignment="1" applyProtection="1">
      <alignment horizontal="left" vertical="center" indent="1"/>
      <protection hidden="1"/>
    </xf>
    <xf numFmtId="0" fontId="21" fillId="2" borderId="3" xfId="0" applyFont="1" applyFill="1" applyBorder="1" applyAlignment="1" applyProtection="1">
      <alignment vertical="center" wrapText="1"/>
      <protection hidden="1"/>
    </xf>
    <xf numFmtId="0" fontId="21" fillId="2" borderId="2" xfId="0" applyFont="1" applyFill="1" applyBorder="1" applyAlignment="1" applyProtection="1">
      <alignment horizontal="left" vertical="center" wrapText="1" indent="1"/>
      <protection hidden="1"/>
    </xf>
    <xf numFmtId="0" fontId="21" fillId="2" borderId="2" xfId="0" applyFont="1" applyFill="1" applyBorder="1" applyAlignment="1" applyProtection="1">
      <alignment horizontal="left" vertical="center" indent="1"/>
      <protection hidden="1"/>
    </xf>
    <xf numFmtId="0" fontId="13" fillId="5" borderId="1" xfId="0" applyFont="1" applyFill="1" applyBorder="1" applyAlignment="1" applyProtection="1">
      <alignment horizontal="center" vertical="center"/>
      <protection hidden="1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3" fontId="7" fillId="3" borderId="1" xfId="0" applyNumberFormat="1" applyFont="1" applyFill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wrapText="1"/>
    </xf>
    <xf numFmtId="0" fontId="24" fillId="2" borderId="0" xfId="0" applyFont="1" applyFill="1" applyAlignment="1" applyProtection="1">
      <alignment vertic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14" fontId="10" fillId="3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6" fillId="4" borderId="0" xfId="0" applyFont="1" applyFill="1" applyAlignment="1" applyProtection="1">
      <alignment horizontal="center" vertical="center"/>
      <protection hidden="1"/>
    </xf>
    <xf numFmtId="0" fontId="27" fillId="4" borderId="1" xfId="0" applyFont="1" applyFill="1" applyBorder="1" applyAlignment="1" applyProtection="1">
      <alignment horizontal="right" vertical="center" indent="1"/>
      <protection hidden="1"/>
    </xf>
    <xf numFmtId="0" fontId="25" fillId="2" borderId="8" xfId="0" applyFont="1" applyFill="1" applyBorder="1" applyAlignment="1" applyProtection="1">
      <alignment vertical="center"/>
      <protection hidden="1"/>
    </xf>
    <xf numFmtId="0" fontId="7" fillId="5" borderId="1" xfId="0" applyFont="1" applyFill="1" applyBorder="1" applyAlignment="1" applyProtection="1">
      <alignment horizontal="left" vertical="center" indent="1"/>
      <protection locked="0"/>
    </xf>
    <xf numFmtId="0" fontId="10" fillId="4" borderId="0" xfId="0" applyFont="1" applyFill="1" applyProtection="1">
      <protection hidden="1"/>
    </xf>
    <xf numFmtId="164" fontId="26" fillId="4" borderId="0" xfId="0" applyNumberFormat="1" applyFont="1" applyFill="1" applyAlignment="1" applyProtection="1">
      <alignment horizontal="center" vertical="center"/>
      <protection hidden="1"/>
    </xf>
    <xf numFmtId="164" fontId="10" fillId="4" borderId="0" xfId="0" applyNumberFormat="1" applyFont="1" applyFill="1" applyProtection="1">
      <protection hidden="1"/>
    </xf>
    <xf numFmtId="9" fontId="26" fillId="4" borderId="0" xfId="2" applyFont="1" applyFill="1" applyAlignment="1" applyProtection="1">
      <alignment horizontal="center" vertical="center"/>
      <protection hidden="1"/>
    </xf>
    <xf numFmtId="2" fontId="26" fillId="4" borderId="0" xfId="0" applyNumberFormat="1" applyFont="1" applyFill="1" applyAlignment="1" applyProtection="1">
      <alignment horizontal="center" vertical="center"/>
      <protection hidden="1"/>
    </xf>
    <xf numFmtId="1" fontId="26" fillId="4" borderId="0" xfId="0" applyNumberFormat="1" applyFont="1" applyFill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165" fontId="7" fillId="2" borderId="1" xfId="0" applyNumberFormat="1" applyFont="1" applyFill="1" applyBorder="1" applyAlignment="1" applyProtection="1">
      <alignment horizontal="center" vertical="center"/>
      <protection hidden="1"/>
    </xf>
    <xf numFmtId="0" fontId="15" fillId="0" borderId="1" xfId="0" applyFont="1" applyBorder="1"/>
    <xf numFmtId="9" fontId="15" fillId="0" borderId="1" xfId="2" applyFont="1" applyBorder="1"/>
    <xf numFmtId="0" fontId="8" fillId="0" borderId="1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>
      <alignment horizontal="center"/>
    </xf>
    <xf numFmtId="3" fontId="26" fillId="4" borderId="0" xfId="0" applyNumberFormat="1" applyFont="1" applyFill="1" applyAlignment="1" applyProtection="1">
      <alignment horizontal="center" vertical="center"/>
      <protection hidden="1"/>
    </xf>
    <xf numFmtId="3" fontId="7" fillId="2" borderId="1" xfId="0" applyNumberFormat="1" applyFont="1" applyFill="1" applyBorder="1" applyAlignment="1" applyProtection="1">
      <alignment horizontal="left" vertical="center" indent="1"/>
      <protection hidden="1"/>
    </xf>
    <xf numFmtId="165" fontId="7" fillId="3" borderId="1" xfId="0" applyNumberFormat="1" applyFont="1" applyFill="1" applyBorder="1" applyAlignment="1" applyProtection="1">
      <alignment horizontal="center" vertical="center"/>
      <protection locked="0"/>
    </xf>
    <xf numFmtId="0" fontId="21" fillId="2" borderId="8" xfId="0" applyFont="1" applyFill="1" applyBorder="1" applyAlignment="1" applyProtection="1">
      <alignment horizontal="left" vertical="center" inden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3" fontId="2" fillId="3" borderId="1" xfId="0" applyNumberFormat="1" applyFont="1" applyFill="1" applyBorder="1" applyAlignment="1" applyProtection="1">
      <alignment horizontal="center" vertical="center"/>
      <protection locked="0"/>
    </xf>
    <xf numFmtId="165" fontId="2" fillId="3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vertical="center"/>
      <protection hidden="1"/>
    </xf>
    <xf numFmtId="0" fontId="9" fillId="2" borderId="7" xfId="0" applyFont="1" applyFill="1" applyBorder="1" applyAlignment="1" applyProtection="1">
      <alignment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32" fillId="2" borderId="1" xfId="1" applyFont="1" applyFill="1" applyBorder="1" applyAlignment="1" applyProtection="1">
      <alignment horizontal="center" vertical="center" wrapText="1"/>
      <protection hidden="1"/>
    </xf>
    <xf numFmtId="0" fontId="31" fillId="2" borderId="0" xfId="0" applyFont="1" applyFill="1" applyAlignment="1" applyProtection="1">
      <alignment horizontal="center" vertical="center"/>
      <protection hidden="1"/>
    </xf>
    <xf numFmtId="0" fontId="13" fillId="2" borderId="8" xfId="0" applyFont="1" applyFill="1" applyBorder="1" applyAlignment="1" applyProtection="1">
      <alignment vertical="center"/>
      <protection hidden="1"/>
    </xf>
    <xf numFmtId="0" fontId="5" fillId="4" borderId="0" xfId="0" applyFont="1" applyFill="1" applyAlignment="1" applyProtection="1">
      <alignment horizontal="center"/>
      <protection hidden="1"/>
    </xf>
    <xf numFmtId="164" fontId="5" fillId="4" borderId="0" xfId="0" applyNumberFormat="1" applyFont="1" applyFill="1" applyAlignment="1" applyProtection="1">
      <alignment horizontal="center"/>
      <protection hidden="1"/>
    </xf>
    <xf numFmtId="0" fontId="2" fillId="4" borderId="0" xfId="0" applyFont="1" applyFill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8" fillId="4" borderId="0" xfId="0" applyFont="1" applyFill="1" applyAlignment="1" applyProtection="1">
      <alignment horizontal="center"/>
      <protection hidden="1"/>
    </xf>
    <xf numFmtId="164" fontId="8" fillId="4" borderId="0" xfId="0" applyNumberFormat="1" applyFont="1" applyFill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12" fillId="2" borderId="8" xfId="0" applyFont="1" applyFill="1" applyBorder="1" applyProtection="1">
      <protection hidden="1"/>
    </xf>
    <xf numFmtId="0" fontId="21" fillId="4" borderId="0" xfId="0" applyFont="1" applyFill="1" applyAlignment="1" applyProtection="1">
      <alignment horizontal="left" indent="1"/>
      <protection hidden="1"/>
    </xf>
    <xf numFmtId="0" fontId="12" fillId="4" borderId="0" xfId="0" applyFont="1" applyFill="1" applyAlignment="1" applyProtection="1">
      <alignment horizontal="center"/>
      <protection hidden="1"/>
    </xf>
    <xf numFmtId="164" fontId="12" fillId="4" borderId="0" xfId="0" applyNumberFormat="1" applyFont="1" applyFill="1" applyAlignment="1" applyProtection="1">
      <alignment horizontal="center"/>
      <protection hidden="1"/>
    </xf>
    <xf numFmtId="1" fontId="28" fillId="6" borderId="0" xfId="0" applyNumberFormat="1" applyFont="1" applyFill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vertical="center"/>
      <protection hidden="1"/>
    </xf>
    <xf numFmtId="0" fontId="12" fillId="0" borderId="0" xfId="0" applyFont="1" applyProtection="1">
      <protection hidden="1"/>
    </xf>
    <xf numFmtId="0" fontId="19" fillId="4" borderId="0" xfId="0" applyFont="1" applyFill="1" applyAlignment="1" applyProtection="1">
      <alignment horizontal="center" vertical="center" wrapText="1"/>
      <protection hidden="1"/>
    </xf>
    <xf numFmtId="0" fontId="18" fillId="4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 applyProtection="1">
      <alignment horizontal="center" vertical="center"/>
      <protection hidden="1"/>
    </xf>
    <xf numFmtId="0" fontId="18" fillId="4" borderId="0" xfId="0" applyFont="1" applyFill="1" applyAlignment="1" applyProtection="1">
      <alignment horizontal="center" vertical="center" wrapText="1"/>
      <protection hidden="1"/>
    </xf>
    <xf numFmtId="164" fontId="19" fillId="4" borderId="0" xfId="0" applyNumberFormat="1" applyFont="1" applyFill="1" applyAlignment="1" applyProtection="1">
      <alignment horizontal="center" vertical="center" wrapText="1"/>
      <protection hidden="1"/>
    </xf>
    <xf numFmtId="164" fontId="30" fillId="4" borderId="0" xfId="0" applyNumberFormat="1" applyFont="1" applyFill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vertical="center" wrapText="1"/>
      <protection hidden="1"/>
    </xf>
    <xf numFmtId="0" fontId="13" fillId="4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11" fillId="0" borderId="0" xfId="0" applyFont="1" applyProtection="1">
      <protection hidden="1"/>
    </xf>
    <xf numFmtId="0" fontId="13" fillId="2" borderId="4" xfId="0" applyFont="1" applyFill="1" applyBorder="1" applyAlignment="1" applyProtection="1">
      <alignment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4" fontId="13" fillId="7" borderId="1" xfId="0" applyNumberFormat="1" applyFont="1" applyFill="1" applyBorder="1" applyAlignment="1" applyProtection="1">
      <alignment horizontal="center" vertical="center"/>
      <protection hidden="1"/>
    </xf>
    <xf numFmtId="0" fontId="11" fillId="4" borderId="0" xfId="0" applyFont="1" applyFill="1" applyAlignment="1" applyProtection="1">
      <alignment horizontal="center"/>
      <protection hidden="1"/>
    </xf>
    <xf numFmtId="164" fontId="11" fillId="4" borderId="0" xfId="0" applyNumberFormat="1" applyFont="1" applyFill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center"/>
      <protection hidden="1"/>
    </xf>
    <xf numFmtId="0" fontId="13" fillId="5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left" vertical="center" indent="1"/>
      <protection locked="0"/>
    </xf>
    <xf numFmtId="0" fontId="7" fillId="3" borderId="1" xfId="0" applyFont="1" applyFill="1" applyBorder="1" applyAlignment="1" applyProtection="1">
      <alignment horizontal="left" vertical="center" indent="1"/>
      <protection locked="0"/>
    </xf>
    <xf numFmtId="0" fontId="3" fillId="3" borderId="1" xfId="0" applyFont="1" applyFill="1" applyBorder="1" applyAlignment="1" applyProtection="1">
      <alignment horizontal="left" vertical="center" indent="1"/>
      <protection locked="0"/>
    </xf>
    <xf numFmtId="3" fontId="7" fillId="5" borderId="1" xfId="0" applyNumberFormat="1" applyFont="1" applyFill="1" applyBorder="1" applyAlignment="1" applyProtection="1">
      <alignment horizontal="left" vertical="center" indent="1"/>
      <protection locked="0"/>
    </xf>
    <xf numFmtId="3" fontId="7" fillId="5" borderId="1" xfId="0" applyNumberFormat="1" applyFont="1" applyFill="1" applyBorder="1" applyAlignment="1" applyProtection="1">
      <alignment horizontal="center" vertical="center"/>
      <protection locked="0"/>
    </xf>
  </cellXfs>
  <cellStyles count="3">
    <cellStyle name="Lien hypertexte" xfId="1" builtinId="8"/>
    <cellStyle name="Normal" xfId="0" builtinId="0"/>
    <cellStyle name="Pourcentage" xfId="2" builtinId="5"/>
  </cellStyles>
  <dxfs count="2">
    <dxf>
      <font>
        <color rgb="FFFF0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FFFF99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Q317"/>
  <sheetViews>
    <sheetView tabSelected="1" topLeftCell="H1" zoomScale="85" zoomScaleNormal="85" workbookViewId="0">
      <pane ySplit="11" topLeftCell="A12" activePane="bottomLeft" state="frozen"/>
      <selection pane="bottomLeft" activeCell="K14" sqref="K14"/>
    </sheetView>
  </sheetViews>
  <sheetFormatPr baseColWidth="10" defaultColWidth="0" defaultRowHeight="14.25" x14ac:dyDescent="0.2"/>
  <cols>
    <col min="1" max="1" width="5.7109375" style="10" customWidth="1"/>
    <col min="2" max="2" width="5.7109375" style="101" customWidth="1"/>
    <col min="3" max="4" width="25.7109375" style="10" customWidth="1"/>
    <col min="5" max="5" width="9.140625" style="10" customWidth="1"/>
    <col min="6" max="6" width="25.7109375" style="10" customWidth="1"/>
    <col min="7" max="9" width="30.7109375" style="10" customWidth="1"/>
    <col min="10" max="12" width="13.28515625" style="10" customWidth="1"/>
    <col min="13" max="13" width="15.7109375" style="10" customWidth="1"/>
    <col min="14" max="16" width="15.7109375" style="10" hidden="1" customWidth="1"/>
    <col min="17" max="17" width="13.28515625" style="10" customWidth="1"/>
    <col min="18" max="18" width="15.7109375" style="10" customWidth="1"/>
    <col min="19" max="21" width="15.7109375" style="10" hidden="1" customWidth="1"/>
    <col min="22" max="22" width="13.28515625" style="10" customWidth="1"/>
    <col min="23" max="23" width="20.7109375" style="10" customWidth="1"/>
    <col min="24" max="24" width="25.7109375" style="10" customWidth="1"/>
    <col min="25" max="25" width="8.28515625" style="10" customWidth="1"/>
    <col min="26" max="26" width="25.7109375" style="10" customWidth="1"/>
    <col min="27" max="27" width="15.7109375" style="101" customWidth="1"/>
    <col min="28" max="28" width="15.7109375" style="10" customWidth="1"/>
    <col min="29" max="29" width="5.7109375" style="10" customWidth="1"/>
    <col min="30" max="35" width="5.7109375" style="99" hidden="1" customWidth="1"/>
    <col min="36" max="36" width="5.7109375" style="10" hidden="1" customWidth="1"/>
    <col min="37" max="38" width="5.7109375" style="99" hidden="1" customWidth="1"/>
    <col min="39" max="49" width="5.7109375" style="100" hidden="1" customWidth="1"/>
    <col min="50" max="50" width="5.7109375" style="10" hidden="1" customWidth="1"/>
    <col min="51" max="57" width="5.7109375" style="99" hidden="1" customWidth="1"/>
    <col min="58" max="58" width="5.7109375" style="100" hidden="1" customWidth="1"/>
    <col min="59" max="61" width="5.7109375" style="99" hidden="1" customWidth="1"/>
    <col min="62" max="62" width="5.7109375" style="100" hidden="1" customWidth="1"/>
    <col min="63" max="65" width="5.7109375" style="99" hidden="1" customWidth="1"/>
    <col min="66" max="66" width="5.7109375" style="100" hidden="1" customWidth="1"/>
    <col min="67" max="69" width="5.7109375" style="99" hidden="1" customWidth="1"/>
    <col min="70" max="70" width="5.7109375" style="100" hidden="1" customWidth="1"/>
    <col min="71" max="73" width="5.7109375" style="99" hidden="1" customWidth="1"/>
    <col min="74" max="74" width="5.7109375" style="100" hidden="1" customWidth="1"/>
    <col min="75" max="75" width="5.7109375" style="10" hidden="1" customWidth="1"/>
    <col min="76" max="77" width="5.7109375" style="99" hidden="1" customWidth="1"/>
    <col min="78" max="78" width="5.7109375" style="100" hidden="1" customWidth="1"/>
    <col min="79" max="81" width="5.7109375" style="99" hidden="1" customWidth="1"/>
    <col min="82" max="82" width="5.7109375" style="100" hidden="1" customWidth="1"/>
    <col min="83" max="85" width="5.7109375" style="99" hidden="1" customWidth="1"/>
    <col min="86" max="86" width="5.7109375" style="100" hidden="1" customWidth="1"/>
    <col min="87" max="89" width="5.7109375" style="99" hidden="1" customWidth="1"/>
    <col min="90" max="90" width="5.7109375" style="100" hidden="1" customWidth="1"/>
    <col min="91" max="93" width="5.7109375" style="99" hidden="1" customWidth="1"/>
    <col min="94" max="94" width="5.7109375" style="100" hidden="1" customWidth="1"/>
    <col min="95" max="95" width="5.7109375" style="10" hidden="1" customWidth="1"/>
    <col min="96" max="16384" width="9.140625" style="10" hidden="1"/>
  </cols>
  <sheetData>
    <row r="1" spans="1:95" s="73" customFormat="1" ht="12.75" x14ac:dyDescent="0.2">
      <c r="A1" s="39"/>
      <c r="B1" s="22">
        <f>IF(B2="D", 1, IF(B2="F", 2, 3))</f>
        <v>1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40"/>
      <c r="AB1" s="68">
        <v>1</v>
      </c>
      <c r="AC1" s="39"/>
      <c r="AD1" s="70"/>
      <c r="AE1" s="70"/>
      <c r="AF1" s="70"/>
      <c r="AG1" s="70"/>
      <c r="AH1" s="70"/>
      <c r="AI1" s="70"/>
      <c r="AJ1" s="39"/>
      <c r="AK1" s="70"/>
      <c r="AL1" s="70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39"/>
      <c r="AY1" s="70"/>
      <c r="AZ1" s="70"/>
      <c r="BA1" s="70"/>
      <c r="BB1" s="70"/>
      <c r="BC1" s="70"/>
      <c r="BD1" s="72"/>
      <c r="BE1" s="70"/>
      <c r="BF1" s="71"/>
      <c r="BG1" s="70"/>
      <c r="BH1" s="70"/>
      <c r="BI1" s="70"/>
      <c r="BJ1" s="71"/>
      <c r="BK1" s="70"/>
      <c r="BL1" s="70"/>
      <c r="BM1" s="70"/>
      <c r="BN1" s="71"/>
      <c r="BO1" s="70"/>
      <c r="BP1" s="70"/>
      <c r="BQ1" s="70"/>
      <c r="BR1" s="71"/>
      <c r="BS1" s="70"/>
      <c r="BT1" s="70"/>
      <c r="BU1" s="70"/>
      <c r="BV1" s="71"/>
      <c r="BW1" s="39"/>
      <c r="BX1" s="72"/>
      <c r="BY1" s="70"/>
      <c r="BZ1" s="71"/>
      <c r="CA1" s="70"/>
      <c r="CB1" s="70"/>
      <c r="CC1" s="70"/>
      <c r="CD1" s="71"/>
      <c r="CE1" s="70"/>
      <c r="CF1" s="70"/>
      <c r="CG1" s="70"/>
      <c r="CH1" s="71"/>
      <c r="CI1" s="70"/>
      <c r="CJ1" s="70"/>
      <c r="CK1" s="70"/>
      <c r="CL1" s="71"/>
      <c r="CM1" s="70"/>
      <c r="CN1" s="70"/>
      <c r="CO1" s="70"/>
      <c r="CP1" s="71"/>
      <c r="CQ1" s="39"/>
    </row>
    <row r="2" spans="1:95" s="73" customFormat="1" ht="12.75" x14ac:dyDescent="0.2">
      <c r="A2" s="39"/>
      <c r="B2" s="103" t="s">
        <v>4468</v>
      </c>
      <c r="C2" s="12" t="str" cm="1">
        <f t="array" ref="C2">INDEX(Trad, 1, $B$1)</f>
        <v>Sprache</v>
      </c>
      <c r="D2" s="13" t="s">
        <v>4666</v>
      </c>
      <c r="E2" s="39"/>
      <c r="F2" s="39"/>
      <c r="G2" s="22"/>
      <c r="H2" s="22"/>
      <c r="I2" s="39"/>
      <c r="J2" s="39"/>
      <c r="K2" s="22"/>
      <c r="L2" s="22"/>
      <c r="M2" s="22"/>
      <c r="N2" s="22"/>
      <c r="O2" s="22"/>
      <c r="P2" s="22"/>
      <c r="Q2" s="39"/>
      <c r="R2" s="22"/>
      <c r="S2" s="22"/>
      <c r="T2" s="22"/>
      <c r="U2" s="22"/>
      <c r="V2" s="39"/>
      <c r="W2" s="39"/>
      <c r="X2" s="39"/>
      <c r="Y2" s="39"/>
      <c r="Z2" s="39"/>
      <c r="AA2" s="40"/>
      <c r="AB2" s="39"/>
      <c r="AC2" s="39"/>
      <c r="AD2" s="70"/>
      <c r="AE2" s="70"/>
      <c r="AF2" s="70"/>
      <c r="AG2" s="70"/>
      <c r="AH2" s="70"/>
      <c r="AI2" s="70"/>
      <c r="AJ2" s="39"/>
      <c r="AK2" s="70"/>
      <c r="AL2" s="70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39"/>
      <c r="AY2" s="70"/>
      <c r="AZ2" s="70"/>
      <c r="BA2" s="70"/>
      <c r="BB2" s="70"/>
      <c r="BC2" s="70"/>
      <c r="BD2" s="72"/>
      <c r="BE2" s="70"/>
      <c r="BF2" s="71"/>
      <c r="BG2" s="70"/>
      <c r="BH2" s="70"/>
      <c r="BI2" s="70"/>
      <c r="BJ2" s="71"/>
      <c r="BK2" s="70"/>
      <c r="BL2" s="70"/>
      <c r="BM2" s="70"/>
      <c r="BN2" s="71"/>
      <c r="BO2" s="70"/>
      <c r="BP2" s="70"/>
      <c r="BQ2" s="70"/>
      <c r="BR2" s="71"/>
      <c r="BS2" s="70"/>
      <c r="BT2" s="70"/>
      <c r="BU2" s="70"/>
      <c r="BV2" s="71"/>
      <c r="BW2" s="39"/>
      <c r="BX2" s="72"/>
      <c r="BY2" s="70"/>
      <c r="BZ2" s="71"/>
      <c r="CA2" s="70"/>
      <c r="CB2" s="70"/>
      <c r="CC2" s="70"/>
      <c r="CD2" s="71"/>
      <c r="CE2" s="70"/>
      <c r="CF2" s="70"/>
      <c r="CG2" s="70"/>
      <c r="CH2" s="71"/>
      <c r="CI2" s="70"/>
      <c r="CJ2" s="70"/>
      <c r="CK2" s="70"/>
      <c r="CL2" s="71"/>
      <c r="CM2" s="70"/>
      <c r="CN2" s="70"/>
      <c r="CO2" s="70"/>
      <c r="CP2" s="71"/>
      <c r="CQ2" s="39"/>
    </row>
    <row r="3" spans="1:95" s="76" customFormat="1" ht="4.9000000000000004" customHeight="1" x14ac:dyDescent="0.2">
      <c r="A3" s="21"/>
      <c r="B3" s="21"/>
      <c r="C3" s="12"/>
      <c r="D3" s="12"/>
      <c r="E3" s="21"/>
      <c r="F3" s="21"/>
      <c r="G3" s="22"/>
      <c r="H3" s="22"/>
      <c r="I3" s="21"/>
      <c r="J3" s="21"/>
      <c r="K3" s="22"/>
      <c r="L3" s="22"/>
      <c r="M3" s="22"/>
      <c r="N3" s="22"/>
      <c r="O3" s="22"/>
      <c r="P3" s="22"/>
      <c r="Q3" s="21"/>
      <c r="R3" s="22"/>
      <c r="S3" s="22"/>
      <c r="T3" s="22"/>
      <c r="U3" s="22"/>
      <c r="V3" s="21"/>
      <c r="W3" s="21"/>
      <c r="X3" s="21"/>
      <c r="Y3" s="21"/>
      <c r="Z3" s="21"/>
      <c r="AA3" s="37"/>
      <c r="AB3" s="21"/>
      <c r="AC3" s="21"/>
      <c r="AD3" s="74"/>
      <c r="AE3" s="74"/>
      <c r="AF3" s="74"/>
      <c r="AG3" s="74"/>
      <c r="AH3" s="74"/>
      <c r="AI3" s="74"/>
      <c r="AJ3" s="21"/>
      <c r="AK3" s="74"/>
      <c r="AL3" s="74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21"/>
      <c r="AY3" s="74"/>
      <c r="AZ3" s="74"/>
      <c r="BA3" s="74"/>
      <c r="BB3" s="74"/>
      <c r="BC3" s="74"/>
      <c r="BD3" s="72"/>
      <c r="BE3" s="74"/>
      <c r="BF3" s="75"/>
      <c r="BG3" s="74"/>
      <c r="BH3" s="74"/>
      <c r="BI3" s="74"/>
      <c r="BJ3" s="75"/>
      <c r="BK3" s="74"/>
      <c r="BL3" s="74"/>
      <c r="BM3" s="74"/>
      <c r="BN3" s="75"/>
      <c r="BO3" s="74"/>
      <c r="BP3" s="74"/>
      <c r="BQ3" s="74"/>
      <c r="BR3" s="75"/>
      <c r="BS3" s="74"/>
      <c r="BT3" s="74"/>
      <c r="BU3" s="74"/>
      <c r="BV3" s="75"/>
      <c r="BW3" s="21"/>
      <c r="BX3" s="72"/>
      <c r="BY3" s="74"/>
      <c r="BZ3" s="75"/>
      <c r="CA3" s="74"/>
      <c r="CB3" s="74"/>
      <c r="CC3" s="74"/>
      <c r="CD3" s="75"/>
      <c r="CE3" s="74"/>
      <c r="CF3" s="74"/>
      <c r="CG3" s="74"/>
      <c r="CH3" s="75"/>
      <c r="CI3" s="74"/>
      <c r="CJ3" s="74"/>
      <c r="CK3" s="74"/>
      <c r="CL3" s="75"/>
      <c r="CM3" s="74"/>
      <c r="CN3" s="74"/>
      <c r="CO3" s="74"/>
      <c r="CP3" s="75"/>
      <c r="CQ3" s="21"/>
    </row>
    <row r="4" spans="1:95" s="73" customFormat="1" ht="12.75" x14ac:dyDescent="0.2">
      <c r="A4" s="39"/>
      <c r="B4" s="11"/>
      <c r="C4" s="13" t="str" cm="1">
        <f t="array" ref="C4">INDEX(Trad, 7, $B$1)</f>
        <v>Eingabefeld</v>
      </c>
      <c r="D4" s="12"/>
      <c r="E4" s="39"/>
      <c r="F4" s="39"/>
      <c r="G4" s="22"/>
      <c r="H4" s="22"/>
      <c r="I4" s="39"/>
      <c r="J4" s="39"/>
      <c r="K4" s="22"/>
      <c r="L4" s="22"/>
      <c r="M4" s="22"/>
      <c r="N4" s="22"/>
      <c r="O4" s="22"/>
      <c r="P4" s="22"/>
      <c r="Q4" s="39"/>
      <c r="R4" s="22"/>
      <c r="S4" s="22"/>
      <c r="T4" s="22"/>
      <c r="U4" s="22"/>
      <c r="V4" s="39"/>
      <c r="W4" s="39"/>
      <c r="X4" s="39"/>
      <c r="Y4" s="39"/>
      <c r="Z4" s="39"/>
      <c r="AA4" s="40"/>
      <c r="AB4" s="39"/>
      <c r="AC4" s="39"/>
      <c r="AD4" s="70"/>
      <c r="AE4" s="70"/>
      <c r="AF4" s="70"/>
      <c r="AG4" s="70"/>
      <c r="AH4" s="70"/>
      <c r="AI4" s="70"/>
      <c r="AJ4" s="39"/>
      <c r="AK4" s="70"/>
      <c r="AL4" s="70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39"/>
      <c r="AY4" s="70"/>
      <c r="AZ4" s="70"/>
      <c r="BA4" s="70"/>
      <c r="BB4" s="70"/>
      <c r="BC4" s="70"/>
      <c r="BD4" s="72"/>
      <c r="BE4" s="70"/>
      <c r="BF4" s="71"/>
      <c r="BG4" s="70"/>
      <c r="BH4" s="70"/>
      <c r="BI4" s="70"/>
      <c r="BJ4" s="71"/>
      <c r="BK4" s="70"/>
      <c r="BL4" s="70"/>
      <c r="BM4" s="70"/>
      <c r="BN4" s="71"/>
      <c r="BO4" s="70"/>
      <c r="BP4" s="70"/>
      <c r="BQ4" s="70"/>
      <c r="BR4" s="71"/>
      <c r="BS4" s="70"/>
      <c r="BT4" s="70"/>
      <c r="BU4" s="70"/>
      <c r="BV4" s="71"/>
      <c r="BW4" s="39"/>
      <c r="BX4" s="72"/>
      <c r="BY4" s="70"/>
      <c r="BZ4" s="71"/>
      <c r="CA4" s="70"/>
      <c r="CB4" s="70"/>
      <c r="CC4" s="70"/>
      <c r="CD4" s="71"/>
      <c r="CE4" s="70"/>
      <c r="CF4" s="70"/>
      <c r="CG4" s="70"/>
      <c r="CH4" s="71"/>
      <c r="CI4" s="70"/>
      <c r="CJ4" s="70"/>
      <c r="CK4" s="70"/>
      <c r="CL4" s="71"/>
      <c r="CM4" s="70"/>
      <c r="CN4" s="70"/>
      <c r="CO4" s="70"/>
      <c r="CP4" s="71"/>
      <c r="CQ4" s="39"/>
    </row>
    <row r="5" spans="1:95" s="73" customFormat="1" ht="12.75" x14ac:dyDescent="0.2">
      <c r="A5" s="39"/>
      <c r="B5" s="32"/>
      <c r="C5" s="13" t="str" cm="1">
        <f t="array" ref="C5">INDEX(Trad, 17, $B$1)</f>
        <v>Eingabefeld (Mehrfachauswahl)</v>
      </c>
      <c r="D5" s="13"/>
      <c r="E5" s="39"/>
      <c r="F5" s="39"/>
      <c r="G5" s="22"/>
      <c r="H5" s="22"/>
      <c r="I5" s="39"/>
      <c r="J5" s="39"/>
      <c r="K5" s="22"/>
      <c r="L5" s="22"/>
      <c r="M5" s="22"/>
      <c r="N5" s="22"/>
      <c r="O5" s="22"/>
      <c r="P5" s="22"/>
      <c r="Q5" s="39"/>
      <c r="R5" s="22"/>
      <c r="S5" s="22"/>
      <c r="T5" s="22"/>
      <c r="U5" s="22"/>
      <c r="V5" s="39"/>
      <c r="W5" s="39"/>
      <c r="X5" s="39"/>
      <c r="Y5" s="39"/>
      <c r="Z5" s="39"/>
      <c r="AA5" s="40"/>
      <c r="AB5" s="39"/>
      <c r="AC5" s="39"/>
      <c r="AD5" s="70"/>
      <c r="AE5" s="70"/>
      <c r="AF5" s="70"/>
      <c r="AG5" s="70"/>
      <c r="AH5" s="70"/>
      <c r="AI5" s="70"/>
      <c r="AJ5" s="39"/>
      <c r="AK5" s="70"/>
      <c r="AL5" s="70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39"/>
      <c r="AY5" s="70"/>
      <c r="AZ5" s="70"/>
      <c r="BA5" s="70"/>
      <c r="BB5" s="70"/>
      <c r="BC5" s="70"/>
      <c r="BD5" s="72"/>
      <c r="BE5" s="70"/>
      <c r="BF5" s="71"/>
      <c r="BG5" s="70"/>
      <c r="BH5" s="70"/>
      <c r="BI5" s="70"/>
      <c r="BJ5" s="71"/>
      <c r="BK5" s="70"/>
      <c r="BL5" s="70"/>
      <c r="BM5" s="70"/>
      <c r="BN5" s="71"/>
      <c r="BO5" s="70"/>
      <c r="BP5" s="70"/>
      <c r="BQ5" s="70"/>
      <c r="BR5" s="71"/>
      <c r="BS5" s="70"/>
      <c r="BT5" s="70"/>
      <c r="BU5" s="70"/>
      <c r="BV5" s="71"/>
      <c r="BW5" s="39"/>
      <c r="BX5" s="72"/>
      <c r="BY5" s="70"/>
      <c r="BZ5" s="71"/>
      <c r="CA5" s="70"/>
      <c r="CB5" s="70"/>
      <c r="CC5" s="70"/>
      <c r="CD5" s="71"/>
      <c r="CE5" s="70"/>
      <c r="CF5" s="70"/>
      <c r="CG5" s="70"/>
      <c r="CH5" s="71"/>
      <c r="CI5" s="70"/>
      <c r="CJ5" s="70"/>
      <c r="CK5" s="70"/>
      <c r="CL5" s="71"/>
      <c r="CM5" s="70"/>
      <c r="CN5" s="70"/>
      <c r="CO5" s="70"/>
      <c r="CP5" s="71"/>
      <c r="CQ5" s="39"/>
    </row>
    <row r="6" spans="1:95" s="73" customFormat="1" ht="12.75" x14ac:dyDescent="0.2">
      <c r="A6" s="39"/>
      <c r="B6" s="14"/>
      <c r="C6" s="13" t="str" cm="1">
        <f t="array" ref="C6">INDEX(Trad, 8, $B$1)</f>
        <v>Berechnetetes Feld</v>
      </c>
      <c r="D6" s="13"/>
      <c r="E6" s="39"/>
      <c r="F6" s="39"/>
      <c r="G6" s="22"/>
      <c r="H6" s="22"/>
      <c r="I6" s="39"/>
      <c r="J6" s="39"/>
      <c r="K6" s="22"/>
      <c r="L6" s="22"/>
      <c r="M6" s="22"/>
      <c r="N6" s="22"/>
      <c r="O6" s="22"/>
      <c r="P6" s="22"/>
      <c r="Q6" s="39"/>
      <c r="R6" s="22"/>
      <c r="S6" s="22"/>
      <c r="T6" s="22"/>
      <c r="U6" s="22"/>
      <c r="V6" s="39"/>
      <c r="W6" s="39"/>
      <c r="X6" s="39"/>
      <c r="Y6" s="39"/>
      <c r="Z6" s="39"/>
      <c r="AA6" s="40"/>
      <c r="AB6" s="39"/>
      <c r="AC6" s="39"/>
      <c r="AD6" s="70"/>
      <c r="AE6" s="70"/>
      <c r="AF6" s="70"/>
      <c r="AG6" s="70"/>
      <c r="AH6" s="70"/>
      <c r="AI6" s="70"/>
      <c r="AJ6" s="39"/>
      <c r="AK6" s="70"/>
      <c r="AL6" s="70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39"/>
      <c r="AY6" s="70"/>
      <c r="AZ6" s="70"/>
      <c r="BA6" s="70"/>
      <c r="BB6" s="70"/>
      <c r="BC6" s="70"/>
      <c r="BD6" s="72"/>
      <c r="BE6" s="70"/>
      <c r="BF6" s="71"/>
      <c r="BG6" s="70"/>
      <c r="BH6" s="70"/>
      <c r="BI6" s="70"/>
      <c r="BJ6" s="71"/>
      <c r="BK6" s="70"/>
      <c r="BL6" s="70"/>
      <c r="BM6" s="70"/>
      <c r="BN6" s="71"/>
      <c r="BO6" s="70"/>
      <c r="BP6" s="70"/>
      <c r="BQ6" s="70"/>
      <c r="BR6" s="71"/>
      <c r="BS6" s="70"/>
      <c r="BT6" s="70"/>
      <c r="BU6" s="70"/>
      <c r="BV6" s="71"/>
      <c r="BW6" s="39"/>
      <c r="BX6" s="72"/>
      <c r="BY6" s="70"/>
      <c r="BZ6" s="71"/>
      <c r="CA6" s="70"/>
      <c r="CB6" s="70"/>
      <c r="CC6" s="70"/>
      <c r="CD6" s="71"/>
      <c r="CE6" s="70"/>
      <c r="CF6" s="70"/>
      <c r="CG6" s="70"/>
      <c r="CH6" s="71"/>
      <c r="CI6" s="70"/>
      <c r="CJ6" s="70"/>
      <c r="CK6" s="70"/>
      <c r="CL6" s="71"/>
      <c r="CM6" s="70"/>
      <c r="CN6" s="70"/>
      <c r="CO6" s="70"/>
      <c r="CP6" s="71"/>
      <c r="CQ6" s="39"/>
    </row>
    <row r="7" spans="1:95" s="73" customFormat="1" ht="12.75" x14ac:dyDescent="0.2">
      <c r="A7" s="39"/>
      <c r="B7" s="42"/>
      <c r="C7" s="13" t="str" cm="1">
        <f t="array" ref="C7">INDEX(Trad, 9, $B$1)</f>
        <v>Gespertes Feld</v>
      </c>
      <c r="D7" s="13"/>
      <c r="E7" s="39"/>
      <c r="F7" s="39"/>
      <c r="G7" s="22"/>
      <c r="H7" s="22"/>
      <c r="I7" s="39"/>
      <c r="J7" s="39"/>
      <c r="K7" s="22"/>
      <c r="L7" s="22"/>
      <c r="M7" s="22"/>
      <c r="N7" s="22"/>
      <c r="O7" s="22"/>
      <c r="P7" s="22"/>
      <c r="Q7" s="39"/>
      <c r="R7" s="22"/>
      <c r="S7" s="22"/>
      <c r="T7" s="22"/>
      <c r="U7" s="22"/>
      <c r="V7" s="39"/>
      <c r="W7" s="39"/>
      <c r="X7" s="39"/>
      <c r="Y7" s="39"/>
      <c r="Z7" s="39"/>
      <c r="AA7" s="40"/>
      <c r="AB7" s="39"/>
      <c r="AC7" s="39"/>
      <c r="AD7" s="70"/>
      <c r="AE7" s="70"/>
      <c r="AF7" s="70"/>
      <c r="AG7" s="70"/>
      <c r="AH7" s="70"/>
      <c r="AI7" s="70"/>
      <c r="AJ7" s="39"/>
      <c r="AK7" s="70"/>
      <c r="AL7" s="70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39"/>
      <c r="AY7" s="70"/>
      <c r="AZ7" s="70"/>
      <c r="BA7" s="70"/>
      <c r="BB7" s="70"/>
      <c r="BC7" s="70"/>
      <c r="BD7" s="72"/>
      <c r="BE7" s="70"/>
      <c r="BF7" s="71"/>
      <c r="BG7" s="70"/>
      <c r="BH7" s="70"/>
      <c r="BI7" s="70"/>
      <c r="BJ7" s="71"/>
      <c r="BK7" s="70"/>
      <c r="BL7" s="70"/>
      <c r="BM7" s="70"/>
      <c r="BN7" s="71"/>
      <c r="BO7" s="70"/>
      <c r="BP7" s="70"/>
      <c r="BQ7" s="70"/>
      <c r="BR7" s="71"/>
      <c r="BS7" s="70"/>
      <c r="BT7" s="70"/>
      <c r="BU7" s="70"/>
      <c r="BV7" s="71"/>
      <c r="BW7" s="39"/>
      <c r="BX7" s="72"/>
      <c r="BY7" s="70"/>
      <c r="BZ7" s="71"/>
      <c r="CA7" s="70"/>
      <c r="CB7" s="70"/>
      <c r="CC7" s="70"/>
      <c r="CD7" s="71"/>
      <c r="CE7" s="70"/>
      <c r="CF7" s="70"/>
      <c r="CG7" s="70"/>
      <c r="CH7" s="71"/>
      <c r="CI7" s="70"/>
      <c r="CJ7" s="70"/>
      <c r="CK7" s="70"/>
      <c r="CL7" s="71"/>
      <c r="CM7" s="70"/>
      <c r="CN7" s="70"/>
      <c r="CO7" s="70"/>
      <c r="CP7" s="71"/>
      <c r="CQ7" s="39"/>
    </row>
    <row r="8" spans="1:95" s="73" customFormat="1" ht="12.75" x14ac:dyDescent="0.2">
      <c r="A8" s="39"/>
      <c r="B8" s="40"/>
      <c r="C8" s="12"/>
      <c r="D8" s="12"/>
      <c r="E8" s="39"/>
      <c r="F8" s="39"/>
      <c r="G8" s="22"/>
      <c r="H8" s="22"/>
      <c r="I8" s="39"/>
      <c r="J8" s="39"/>
      <c r="K8" s="22"/>
      <c r="L8" s="22"/>
      <c r="M8" s="22"/>
      <c r="N8" s="22"/>
      <c r="O8" s="22"/>
      <c r="P8" s="22"/>
      <c r="Q8" s="39"/>
      <c r="R8" s="22"/>
      <c r="S8" s="22"/>
      <c r="T8" s="22"/>
      <c r="U8" s="22"/>
      <c r="V8" s="39"/>
      <c r="W8" s="39"/>
      <c r="X8" s="39"/>
      <c r="Y8" s="39"/>
      <c r="Z8" s="39"/>
      <c r="AA8" s="40"/>
      <c r="AB8" s="39"/>
      <c r="AC8" s="39"/>
      <c r="AD8" s="70"/>
      <c r="AE8" s="70"/>
      <c r="AF8" s="70"/>
      <c r="AG8" s="70"/>
      <c r="AH8" s="70"/>
      <c r="AI8" s="70"/>
      <c r="AJ8" s="39"/>
      <c r="AK8" s="70"/>
      <c r="AL8" s="70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39"/>
      <c r="AY8" s="70"/>
      <c r="AZ8" s="70"/>
      <c r="BA8" s="70"/>
      <c r="BB8" s="70"/>
      <c r="BC8" s="70"/>
      <c r="BD8" s="72"/>
      <c r="BE8" s="70"/>
      <c r="BF8" s="71"/>
      <c r="BG8" s="70"/>
      <c r="BH8" s="70"/>
      <c r="BI8" s="70"/>
      <c r="BJ8" s="71"/>
      <c r="BK8" s="70"/>
      <c r="BL8" s="70"/>
      <c r="BM8" s="70"/>
      <c r="BN8" s="71"/>
      <c r="BO8" s="70"/>
      <c r="BP8" s="70"/>
      <c r="BQ8" s="70"/>
      <c r="BR8" s="71"/>
      <c r="BS8" s="70"/>
      <c r="BT8" s="70"/>
      <c r="BU8" s="70"/>
      <c r="BV8" s="71"/>
      <c r="BW8" s="39"/>
      <c r="BX8" s="72"/>
      <c r="BY8" s="70"/>
      <c r="BZ8" s="71"/>
      <c r="CA8" s="70"/>
      <c r="CB8" s="70"/>
      <c r="CC8" s="70"/>
      <c r="CD8" s="71"/>
      <c r="CE8" s="70"/>
      <c r="CF8" s="70"/>
      <c r="CG8" s="70"/>
      <c r="CH8" s="71"/>
      <c r="CI8" s="70"/>
      <c r="CJ8" s="70"/>
      <c r="CK8" s="70"/>
      <c r="CL8" s="71"/>
      <c r="CM8" s="70"/>
      <c r="CN8" s="70"/>
      <c r="CO8" s="70"/>
      <c r="CP8" s="71"/>
      <c r="CQ8" s="39"/>
    </row>
    <row r="9" spans="1:95" s="84" customFormat="1" ht="35.1" customHeight="1" x14ac:dyDescent="0.25">
      <c r="A9" s="15"/>
      <c r="B9" s="64"/>
      <c r="C9" s="27" t="str" cm="1">
        <f t="array" ref="C9">INDEX(Trad, 2, $B$1)</f>
        <v>Standort</v>
      </c>
      <c r="D9" s="43"/>
      <c r="E9" s="25"/>
      <c r="F9" s="26"/>
      <c r="G9" s="28" t="str" cm="1">
        <f t="array" ref="G9">INDEX(Trad, 28, $B$1)</f>
        <v>Anlage</v>
      </c>
      <c r="H9" s="77"/>
      <c r="I9" s="77"/>
      <c r="J9" s="77"/>
      <c r="K9" s="25"/>
      <c r="L9" s="25"/>
      <c r="M9" s="28" t="str" cm="1">
        <f t="array" ref="M9">INDEX(Trad, 3, $B$1)</f>
        <v>Alter Zustand</v>
      </c>
      <c r="N9" s="60"/>
      <c r="O9" s="60"/>
      <c r="P9" s="60"/>
      <c r="Q9" s="26"/>
      <c r="R9" s="28" t="str" cm="1">
        <f t="array" ref="R9">INDEX(Trad, 4, $B$1)</f>
        <v>Neuer Zustand</v>
      </c>
      <c r="S9" s="60"/>
      <c r="T9" s="60"/>
      <c r="U9" s="60"/>
      <c r="V9" s="26"/>
      <c r="W9" s="30" t="str" cm="1">
        <f t="array" ref="W9">INDEX(Trad, 5, $B$1)</f>
        <v>Unternehmen</v>
      </c>
      <c r="X9" s="29"/>
      <c r="Y9" s="29"/>
      <c r="Z9" s="26"/>
      <c r="AA9" s="31" t="str" cm="1">
        <f t="array" ref="AA9">INDEX(Trad, 26, $B$1)</f>
        <v>Einsparungen</v>
      </c>
      <c r="AB9" s="26"/>
      <c r="AC9" s="15"/>
      <c r="AD9" s="78" t="s">
        <v>4630</v>
      </c>
      <c r="AE9" s="79"/>
      <c r="AF9" s="79"/>
      <c r="AG9" s="79"/>
      <c r="AH9" s="79"/>
      <c r="AI9" s="79"/>
      <c r="AJ9" s="15"/>
      <c r="AK9" s="78" t="s">
        <v>4636</v>
      </c>
      <c r="AL9" s="79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15"/>
      <c r="AY9" s="78"/>
      <c r="AZ9" s="79"/>
      <c r="BA9" s="79"/>
      <c r="BB9" s="79"/>
      <c r="BC9" s="79"/>
      <c r="BD9" s="79"/>
      <c r="BE9" s="81" t="s">
        <v>4583</v>
      </c>
      <c r="BF9" s="82"/>
      <c r="BG9" s="82"/>
      <c r="BH9" s="82"/>
      <c r="BI9" s="82" t="s">
        <v>4584</v>
      </c>
      <c r="BJ9" s="81"/>
      <c r="BK9" s="82"/>
      <c r="BL9" s="82"/>
      <c r="BM9" s="82" t="s">
        <v>4585</v>
      </c>
      <c r="BN9" s="81"/>
      <c r="BO9" s="83"/>
      <c r="BP9" s="83"/>
      <c r="BQ9" s="82" t="s">
        <v>4468</v>
      </c>
      <c r="BR9" s="81"/>
      <c r="BS9" s="83"/>
      <c r="BT9" s="83"/>
      <c r="BU9" s="83" t="s">
        <v>4587</v>
      </c>
      <c r="BV9" s="80"/>
      <c r="BW9" s="15"/>
      <c r="BX9" s="79"/>
      <c r="BY9" s="81" t="s">
        <v>4583</v>
      </c>
      <c r="BZ9" s="82"/>
      <c r="CA9" s="82"/>
      <c r="CB9" s="82"/>
      <c r="CC9" s="82" t="s">
        <v>4584</v>
      </c>
      <c r="CD9" s="81"/>
      <c r="CE9" s="82"/>
      <c r="CF9" s="82"/>
      <c r="CG9" s="82" t="s">
        <v>4585</v>
      </c>
      <c r="CH9" s="81"/>
      <c r="CI9" s="83"/>
      <c r="CJ9" s="83"/>
      <c r="CK9" s="82" t="s">
        <v>4468</v>
      </c>
      <c r="CL9" s="81"/>
      <c r="CM9" s="83"/>
      <c r="CN9" s="83"/>
      <c r="CO9" s="83" t="s">
        <v>4587</v>
      </c>
      <c r="CP9" s="80"/>
      <c r="CQ9" s="15"/>
    </row>
    <row r="10" spans="1:95" s="91" customFormat="1" ht="60" customHeight="1" x14ac:dyDescent="0.25">
      <c r="A10" s="23"/>
      <c r="B10" s="65"/>
      <c r="C10" s="24" t="str" cm="1">
        <f t="array" ref="C10">INDEX(Trad, 14, $B$1)</f>
        <v>Name</v>
      </c>
      <c r="D10" s="24" t="str" cm="1">
        <f t="array" ref="D10">INDEX(Trad, 12, $B$1)</f>
        <v>Adresse</v>
      </c>
      <c r="E10" s="24" t="str" cm="1">
        <f t="array" ref="E10">INDEX(Trad, 15, $B$1)</f>
        <v>PLZ</v>
      </c>
      <c r="F10" s="24" t="str" cm="1">
        <f t="array" ref="F10">INDEX(Trad, 18, $B$1)</f>
        <v>Gemeinde</v>
      </c>
      <c r="G10" s="24" t="str" cm="1">
        <f t="array" ref="G10">INDEX(Trad, 52, $B$1)</f>
        <v>Geografische Region  
(≥ 800 m)</v>
      </c>
      <c r="H10" s="24" t="str" cm="1">
        <f t="array" ref="H10">INDEX(Trad, 31, $B$1)</f>
        <v>Anwendung</v>
      </c>
      <c r="I10" s="24" t="str" cm="1">
        <f t="array" ref="I10">INDEX(Trad, 32, $B$1)</f>
        <v>Wärmeträger</v>
      </c>
      <c r="J10" s="51" t="s">
        <v>4590</v>
      </c>
      <c r="K10" s="55" t="str" cm="1">
        <f t="array" ref="K10">INDEX(Trad, 35, $B$1)</f>
        <v>Auslegung: Kälteleistung</v>
      </c>
      <c r="L10" s="24" t="str" cm="1">
        <f t="array" ref="L10">INDEX(Trad, 37, $B$1)</f>
        <v>Auslegung: Aussen-temperatur</v>
      </c>
      <c r="M10" s="24" t="str" cm="1">
        <f t="array" ref="M10">INDEX(Trad, 36, $B$1)</f>
        <v>Reinigung Rückkühler / Verflüssiger</v>
      </c>
      <c r="N10" s="61" t="str" cm="1">
        <f t="array" ref="N10">INDEX(Trad, 53, $B$1)</f>
        <v>Minimale Verglüssigungs-temperatur</v>
      </c>
      <c r="O10" s="61" t="str" cm="1">
        <f t="array" ref="O10">INDEX(Trad, 54, $B$1)</f>
        <v>Umgebungs-temperatur der Messung</v>
      </c>
      <c r="P10" s="61" t="str" cm="1">
        <f t="array" ref="P10">INDEX(Trad, 55, $B$1)</f>
        <v>ΔTPos (Messung Tein - Tamb)</v>
      </c>
      <c r="Q10" s="24" t="str" cm="1">
        <f t="array" ref="Q10">INDEX(Trad, 20, $B$1)</f>
        <v>Energiebedarf</v>
      </c>
      <c r="R10" s="24" t="str" cm="1">
        <f t="array" ref="R10">INDEX(Trad, 36, $B$1)</f>
        <v>Reinigung Rückkühler / Verflüssiger</v>
      </c>
      <c r="S10" s="61" t="str" cm="1">
        <f t="array" ref="S10">INDEX(Trad, 53, $B$1)</f>
        <v>Minimale Verglüssigungs-temperatur</v>
      </c>
      <c r="T10" s="61" t="str" cm="1">
        <f t="array" ref="T10">INDEX(Trad, 54, $B$1)</f>
        <v>Umgebungs-temperatur der Messung</v>
      </c>
      <c r="U10" s="61" t="str" cm="1">
        <f t="array" ref="U10">INDEX(Trad, 55, $B$1)</f>
        <v>ΔTPos (Messung Tein - Tamb)</v>
      </c>
      <c r="V10" s="24" t="str" cm="1">
        <f t="array" ref="V10">INDEX(Trad, 20, $B$1)</f>
        <v>Energiebedarf</v>
      </c>
      <c r="W10" s="67" t="s">
        <v>4667</v>
      </c>
      <c r="X10" s="24" t="str" cm="1">
        <f t="array" ref="X10">INDEX(Trad, 14, $B$1)</f>
        <v>Name</v>
      </c>
      <c r="Y10" s="24" t="str" cm="1">
        <f t="array" ref="Y10">INDEX(Trad, 15, $B$1)</f>
        <v>PLZ</v>
      </c>
      <c r="Z10" s="24" t="str" cm="1">
        <f t="array" ref="Z10">INDEX(Trad, 18, $B$1)</f>
        <v>Gemeinde</v>
      </c>
      <c r="AA10" s="24" t="str" cm="1">
        <f t="array" ref="AA10">INDEX(Trad, 16, $B$1)</f>
        <v>Datum Inbetriebnahme</v>
      </c>
      <c r="AB10" s="24" t="str" cm="1">
        <f t="array" ref="AB10">INDEX(Trad, 26, $B$1)</f>
        <v>Einsparungen</v>
      </c>
      <c r="AC10" s="23"/>
      <c r="AD10" s="85" t="s">
        <v>4628</v>
      </c>
      <c r="AE10" s="85" t="s">
        <v>4629</v>
      </c>
      <c r="AF10" s="85" t="s">
        <v>4634</v>
      </c>
      <c r="AG10" s="85" t="s">
        <v>4633</v>
      </c>
      <c r="AH10" s="85" t="s">
        <v>4633</v>
      </c>
      <c r="AI10" s="85" t="s">
        <v>4589</v>
      </c>
      <c r="AJ10" s="23"/>
      <c r="AK10" s="86" t="s">
        <v>4635</v>
      </c>
      <c r="AL10" s="87" t="s">
        <v>4627</v>
      </c>
      <c r="AM10" s="87" t="s">
        <v>4275</v>
      </c>
      <c r="AN10" s="87" t="s">
        <v>8</v>
      </c>
      <c r="AO10" s="86">
        <v>1</v>
      </c>
      <c r="AP10" s="86">
        <v>2</v>
      </c>
      <c r="AQ10" s="86">
        <v>3</v>
      </c>
      <c r="AR10" s="86">
        <v>4</v>
      </c>
      <c r="AS10" s="86">
        <v>5</v>
      </c>
      <c r="AT10" s="86">
        <v>6</v>
      </c>
      <c r="AU10" s="86">
        <v>7</v>
      </c>
      <c r="AV10" s="88" t="s">
        <v>4578</v>
      </c>
      <c r="AW10" s="88" t="s">
        <v>4579</v>
      </c>
      <c r="AX10" s="15"/>
      <c r="AY10" s="85" t="s">
        <v>4570</v>
      </c>
      <c r="AZ10" s="85" t="s">
        <v>4582</v>
      </c>
      <c r="BA10" s="85" t="s">
        <v>4576</v>
      </c>
      <c r="BB10" s="85" t="s">
        <v>4577</v>
      </c>
      <c r="BC10" s="85" t="s">
        <v>4643</v>
      </c>
      <c r="BD10" s="85" t="s">
        <v>4656</v>
      </c>
      <c r="BE10" s="85" t="s">
        <v>4586</v>
      </c>
      <c r="BF10" s="89" t="s">
        <v>4571</v>
      </c>
      <c r="BG10" s="85" t="s">
        <v>4572</v>
      </c>
      <c r="BH10" s="85" t="s">
        <v>4573</v>
      </c>
      <c r="BI10" s="85" t="s">
        <v>4586</v>
      </c>
      <c r="BJ10" s="89" t="s">
        <v>4571</v>
      </c>
      <c r="BK10" s="85" t="s">
        <v>4572</v>
      </c>
      <c r="BL10" s="85" t="s">
        <v>4573</v>
      </c>
      <c r="BM10" s="85" t="s">
        <v>4586</v>
      </c>
      <c r="BN10" s="89" t="s">
        <v>4571</v>
      </c>
      <c r="BO10" s="85" t="s">
        <v>4572</v>
      </c>
      <c r="BP10" s="85" t="s">
        <v>4573</v>
      </c>
      <c r="BQ10" s="85" t="s">
        <v>4586</v>
      </c>
      <c r="BR10" s="89" t="s">
        <v>4571</v>
      </c>
      <c r="BS10" s="85" t="s">
        <v>4572</v>
      </c>
      <c r="BT10" s="85" t="s">
        <v>4573</v>
      </c>
      <c r="BU10" s="85" t="s">
        <v>4573</v>
      </c>
      <c r="BV10" s="86" t="s">
        <v>4580</v>
      </c>
      <c r="BW10" s="23"/>
      <c r="BX10" s="85" t="s">
        <v>4656</v>
      </c>
      <c r="BY10" s="85" t="s">
        <v>4586</v>
      </c>
      <c r="BZ10" s="90" t="s">
        <v>4571</v>
      </c>
      <c r="CA10" s="85" t="s">
        <v>4572</v>
      </c>
      <c r="CB10" s="85" t="s">
        <v>4573</v>
      </c>
      <c r="CC10" s="85" t="s">
        <v>4586</v>
      </c>
      <c r="CD10" s="90" t="s">
        <v>4571</v>
      </c>
      <c r="CE10" s="85" t="s">
        <v>4572</v>
      </c>
      <c r="CF10" s="85" t="s">
        <v>4573</v>
      </c>
      <c r="CG10" s="85" t="s">
        <v>4586</v>
      </c>
      <c r="CH10" s="90" t="s">
        <v>4571</v>
      </c>
      <c r="CI10" s="85" t="s">
        <v>4572</v>
      </c>
      <c r="CJ10" s="85" t="s">
        <v>4573</v>
      </c>
      <c r="CK10" s="85" t="s">
        <v>4586</v>
      </c>
      <c r="CL10" s="90" t="s">
        <v>4571</v>
      </c>
      <c r="CM10" s="85" t="s">
        <v>4572</v>
      </c>
      <c r="CN10" s="85" t="s">
        <v>4573</v>
      </c>
      <c r="CO10" s="85" t="s">
        <v>4573</v>
      </c>
      <c r="CP10" s="86" t="s">
        <v>4580</v>
      </c>
      <c r="CQ10" s="23"/>
    </row>
    <row r="11" spans="1:95" s="93" customFormat="1" ht="15" customHeight="1" x14ac:dyDescent="0.25">
      <c r="A11" s="16"/>
      <c r="B11" s="66" t="s">
        <v>4465</v>
      </c>
      <c r="C11" s="17" t="s">
        <v>2</v>
      </c>
      <c r="D11" s="17" t="s">
        <v>2</v>
      </c>
      <c r="E11" s="18" t="s">
        <v>2</v>
      </c>
      <c r="F11" s="18" t="s">
        <v>2</v>
      </c>
      <c r="G11" s="17" t="s">
        <v>2</v>
      </c>
      <c r="H11" s="17" t="s">
        <v>2</v>
      </c>
      <c r="I11" s="17" t="s">
        <v>2</v>
      </c>
      <c r="J11" s="17" t="s">
        <v>2</v>
      </c>
      <c r="K11" s="17" t="s">
        <v>4522</v>
      </c>
      <c r="L11" s="17" t="s">
        <v>4574</v>
      </c>
      <c r="M11" s="17" t="s">
        <v>2</v>
      </c>
      <c r="N11" s="17" t="s">
        <v>4574</v>
      </c>
      <c r="O11" s="17" t="s">
        <v>4574</v>
      </c>
      <c r="P11" s="17" t="s">
        <v>4655</v>
      </c>
      <c r="Q11" s="17" t="s">
        <v>4581</v>
      </c>
      <c r="R11" s="17" t="s">
        <v>2</v>
      </c>
      <c r="S11" s="17" t="s">
        <v>4574</v>
      </c>
      <c r="T11" s="17" t="s">
        <v>4574</v>
      </c>
      <c r="U11" s="17" t="s">
        <v>4655</v>
      </c>
      <c r="V11" s="17" t="s">
        <v>4581</v>
      </c>
      <c r="W11" s="18" t="s">
        <v>2</v>
      </c>
      <c r="X11" s="18" t="s">
        <v>2</v>
      </c>
      <c r="Y11" s="18" t="s">
        <v>2</v>
      </c>
      <c r="Z11" s="18" t="s">
        <v>2</v>
      </c>
      <c r="AA11" s="18" t="s">
        <v>2</v>
      </c>
      <c r="AB11" s="18" t="s">
        <v>4464</v>
      </c>
      <c r="AC11" s="19"/>
      <c r="AD11" s="92" t="s">
        <v>4630</v>
      </c>
      <c r="AE11" s="92" t="s">
        <v>4630</v>
      </c>
      <c r="AF11" s="92" t="s">
        <v>4630</v>
      </c>
      <c r="AG11" s="92" t="s">
        <v>4631</v>
      </c>
      <c r="AH11" s="92" t="s">
        <v>4632</v>
      </c>
      <c r="AI11" s="92" t="s">
        <v>4574</v>
      </c>
      <c r="AJ11" s="19"/>
      <c r="AK11" s="41" t="s">
        <v>4574</v>
      </c>
      <c r="AL11" s="41" t="s">
        <v>4575</v>
      </c>
      <c r="AM11" s="46" t="s">
        <v>4575</v>
      </c>
      <c r="AN11" s="46" t="s">
        <v>4575</v>
      </c>
      <c r="AO11" s="46"/>
      <c r="AP11" s="46"/>
      <c r="AQ11" s="46"/>
      <c r="AR11" s="46"/>
      <c r="AS11" s="46"/>
      <c r="AT11" s="46"/>
      <c r="AU11" s="46"/>
      <c r="AV11" s="46"/>
      <c r="AW11" s="46"/>
      <c r="AX11" s="15"/>
      <c r="AY11" s="41" t="s">
        <v>4574</v>
      </c>
      <c r="AZ11" s="41" t="s">
        <v>4574</v>
      </c>
      <c r="BA11" s="41" t="s">
        <v>4574</v>
      </c>
      <c r="BB11" s="41" t="s">
        <v>4574</v>
      </c>
      <c r="BC11" s="41" t="s">
        <v>4522</v>
      </c>
      <c r="BD11" s="46" t="s">
        <v>4574</v>
      </c>
      <c r="BE11" s="46" t="s">
        <v>4574</v>
      </c>
      <c r="BF11" s="46" t="s">
        <v>4574</v>
      </c>
      <c r="BG11" s="41" t="s">
        <v>2</v>
      </c>
      <c r="BH11" s="41" t="s">
        <v>4464</v>
      </c>
      <c r="BI11" s="46" t="s">
        <v>4574</v>
      </c>
      <c r="BJ11" s="46" t="s">
        <v>4574</v>
      </c>
      <c r="BK11" s="41" t="s">
        <v>2</v>
      </c>
      <c r="BL11" s="41" t="s">
        <v>4464</v>
      </c>
      <c r="BM11" s="46" t="s">
        <v>4574</v>
      </c>
      <c r="BN11" s="46" t="s">
        <v>4574</v>
      </c>
      <c r="BO11" s="41" t="s">
        <v>2</v>
      </c>
      <c r="BP11" s="41" t="s">
        <v>4464</v>
      </c>
      <c r="BQ11" s="46" t="s">
        <v>4574</v>
      </c>
      <c r="BR11" s="46" t="s">
        <v>4574</v>
      </c>
      <c r="BS11" s="41" t="s">
        <v>2</v>
      </c>
      <c r="BT11" s="41" t="s">
        <v>4464</v>
      </c>
      <c r="BU11" s="41" t="s">
        <v>4464</v>
      </c>
      <c r="BV11" s="41" t="s">
        <v>4464</v>
      </c>
      <c r="BW11" s="19"/>
      <c r="BX11" s="46" t="s">
        <v>4574</v>
      </c>
      <c r="BY11" s="46" t="s">
        <v>4574</v>
      </c>
      <c r="BZ11" s="46" t="s">
        <v>4574</v>
      </c>
      <c r="CA11" s="41" t="s">
        <v>2</v>
      </c>
      <c r="CB11" s="41" t="s">
        <v>4464</v>
      </c>
      <c r="CC11" s="46" t="s">
        <v>4574</v>
      </c>
      <c r="CD11" s="46" t="s">
        <v>4574</v>
      </c>
      <c r="CE11" s="41" t="s">
        <v>2</v>
      </c>
      <c r="CF11" s="41" t="s">
        <v>4464</v>
      </c>
      <c r="CG11" s="46" t="s">
        <v>4574</v>
      </c>
      <c r="CH11" s="46" t="s">
        <v>4574</v>
      </c>
      <c r="CI11" s="41" t="s">
        <v>2</v>
      </c>
      <c r="CJ11" s="41" t="s">
        <v>4464</v>
      </c>
      <c r="CK11" s="46" t="s">
        <v>4574</v>
      </c>
      <c r="CL11" s="46" t="s">
        <v>4574</v>
      </c>
      <c r="CM11" s="41" t="s">
        <v>2</v>
      </c>
      <c r="CN11" s="41" t="s">
        <v>4464</v>
      </c>
      <c r="CO11" s="41" t="s">
        <v>4464</v>
      </c>
      <c r="CP11" s="41" t="s">
        <v>4464</v>
      </c>
      <c r="CQ11" s="19"/>
    </row>
    <row r="12" spans="1:95" s="95" customFormat="1" ht="14.25" customHeight="1" x14ac:dyDescent="0.25">
      <c r="A12" s="36" t="b">
        <f t="shared" ref="A12:A43" si="0">IF(OR(AND($K12&gt;80, $AD12=1), AND($K12&gt;40, $AD12=3), AND($K12&gt;30, $AD12=4),), TRUE, FALSE)</f>
        <v>0</v>
      </c>
      <c r="B12" s="94">
        <v>1</v>
      </c>
      <c r="C12" s="104" t="s">
        <v>4521</v>
      </c>
      <c r="D12" s="105" t="s">
        <v>4510</v>
      </c>
      <c r="E12" s="33">
        <v>6900</v>
      </c>
      <c r="F12" s="8" t="str">
        <f>IF(ISBLANK(E12), "", VLOOKUP(E12, Z!$A$2:$C$4127, 3, FALSE))</f>
        <v>Lugano</v>
      </c>
      <c r="G12" s="44" t="s">
        <v>4618</v>
      </c>
      <c r="H12" s="44" t="s">
        <v>4548</v>
      </c>
      <c r="I12" s="107" t="s">
        <v>4554</v>
      </c>
      <c r="J12" s="108"/>
      <c r="K12" s="34">
        <v>75</v>
      </c>
      <c r="L12" s="59">
        <v>35</v>
      </c>
      <c r="M12" s="58" t="str" cm="1">
        <f t="array" ref="M12">IF($K12&gt;0, INDEX(Clean,1+AG12,$B$1), "")</f>
        <v>Verschmutzt</v>
      </c>
      <c r="N12" s="62"/>
      <c r="O12" s="62"/>
      <c r="P12" s="63"/>
      <c r="Q12" s="52">
        <f>BV12</f>
        <v>9.6296144441591771</v>
      </c>
      <c r="R12" s="58" t="str" cm="1">
        <f t="array" ref="R12">IF($K12&gt;0, INDEX(Clean,1+AH12,$B$1), "")</f>
        <v>Sauber</v>
      </c>
      <c r="S12" s="62"/>
      <c r="T12" s="62"/>
      <c r="U12" s="63"/>
      <c r="V12" s="52">
        <f>CP12</f>
        <v>9.1810835978686178</v>
      </c>
      <c r="W12" s="6" t="s">
        <v>4463</v>
      </c>
      <c r="X12" s="7" t="s">
        <v>3</v>
      </c>
      <c r="Y12" s="33">
        <v>8215</v>
      </c>
      <c r="Z12" s="8" t="str">
        <f>IF(ISBLANK(Y12), "", VLOOKUP(Y12, Z!$A$2:$C$4127, 3, FALSE))</f>
        <v>Hallau</v>
      </c>
      <c r="AA12" s="38">
        <v>45575</v>
      </c>
      <c r="AB12" s="9">
        <f t="shared" ref="AB12:AB43" si="1">0.75*AB$1*(Q12-V12)</f>
        <v>0.33639813471791946</v>
      </c>
      <c r="AC12" s="20"/>
      <c r="AD12" s="41">
        <f t="shared" ref="AD12:AD43" si="2">IF(ISBLANK(H12), 1, IFERROR(MATCH(H12, INDEX(Use,,1), 0), IFERROR(MATCH(H12, INDEX(Use,,2), 0), MATCH(H12, INDEX(Use,,3), 0))))</f>
        <v>1</v>
      </c>
      <c r="AE12" s="41">
        <f t="shared" ref="AE12:AE43" si="3">IF(ISBLANK(G12), 1, IFERROR(MATCH(G12, INDEX(Loc,,1), 0), IFERROR(MATCH(G12, INDEX(Loc,,2), 0), MATCH(G12, INDEX(Loc,,3), 0))))</f>
        <v>1</v>
      </c>
      <c r="AF12" s="41">
        <f t="shared" ref="AF12:AF43" si="4">_xlfn.IFNA(IF(IFERROR(MATCH(I12, INDEX(Medium,,1), 0), IFERROR(MATCH(I12, INDEX(Medium,,2), 0), MATCH(I12, INDEX(Medium,,3), 0))) = 2, 1, 0), 0)</f>
        <v>0</v>
      </c>
      <c r="AG12" s="41">
        <v>1</v>
      </c>
      <c r="AH12" s="41">
        <v>0</v>
      </c>
      <c r="AI12" s="41">
        <f t="shared" ref="AI12:AI43" si="5">IF(AND(J12="x", AD12=5), 11, IF(AND(J12="x", AD12=6), 19, -100))</f>
        <v>-100</v>
      </c>
      <c r="AJ12" s="20"/>
      <c r="AK12" s="41">
        <v>-19</v>
      </c>
      <c r="AL12" s="50">
        <v>0</v>
      </c>
      <c r="AM12" s="50">
        <v>0</v>
      </c>
      <c r="AN12" s="50">
        <v>0</v>
      </c>
      <c r="AO12" s="48">
        <f t="shared" ref="AO12:AP70" si="6">MAX(0, ($AK12-19)/(35-19))</f>
        <v>0</v>
      </c>
      <c r="AP12" s="48">
        <f t="shared" si="6"/>
        <v>0</v>
      </c>
      <c r="AQ12" s="48" cm="1">
        <f t="array" ref="AQ12">MIN(INDEX(Use,AQ$10,5) + MAX(0, (1-INDEX(Use,AQ$10,5))*($AK12-5)/(35-5)), 1)</f>
        <v>0.4</v>
      </c>
      <c r="AR12" s="48" cm="1">
        <f t="array" ref="AR12">MIN(INDEX(Use,AR$10,5) + MAX(0, (1-INDEX(Use,AR$10,5))*($AK12-5)/(35-5)), 1)</f>
        <v>0.6</v>
      </c>
      <c r="AS12" s="48" cm="1">
        <f t="array" ref="AS12">MIN(INDEX(Use,AS$10,5) + MAX(0, (1-INDEX(Use,AS$10,5))*($AK12-5)/(35-5)), 1)</f>
        <v>0.8</v>
      </c>
      <c r="AT12" s="48" cm="1">
        <f t="array" ref="AT12">MIN(INDEX(Use,AT$10,5) + MAX(0, (1-INDEX(Use,AT$10,5))*($AK12-5)/(35-5)), 1)</f>
        <v>0.8</v>
      </c>
      <c r="AU12" s="48" cm="1">
        <f t="array" ref="AU12">MIN(INDEX(Use,AU$10,5) + MAX(0, (1-INDEX(Use,AU$10,5))*($AK12-5)/(35-5)), 1)</f>
        <v>0.8</v>
      </c>
      <c r="AV12" s="48">
        <v>1</v>
      </c>
      <c r="AW12" s="48">
        <v>1</v>
      </c>
      <c r="AX12" s="15"/>
      <c r="AY12" s="41" cm="1">
        <f t="array" ref="AY12">INDEX(Use, $AD12, 4)</f>
        <v>7</v>
      </c>
      <c r="AZ12" s="41">
        <f>MAX(25, AY12+25)</f>
        <v>32</v>
      </c>
      <c r="BA12" s="41">
        <f>IF($AF12=1, 6, IF($AD12=4, 10, 13))</f>
        <v>13</v>
      </c>
      <c r="BB12" s="41">
        <f>IF($AF12=1, 9, 0)</f>
        <v>0</v>
      </c>
      <c r="BC12" s="57" cm="1">
        <f t="array" ref="BC12">K12/IF($L12&gt;0, INDEX($AO$12:$AU$66, $L12+20, $AD12), 1)</f>
        <v>75</v>
      </c>
      <c r="BD12" s="46">
        <f>P12 /  IF(AD12&lt;=2, 0.7 + 0.3 * (O12-20)/(35-20), 0.4 + 0.6 * (O12-5)/(35-5))</f>
        <v>0</v>
      </c>
      <c r="BE12" s="41">
        <v>35</v>
      </c>
      <c r="BF12" s="46">
        <f>MAX($N12, MAX($AZ12, $BE12 + $BA12 + $BB12 + 0.35*$AG12*$BA12 + BD12))</f>
        <v>52.55</v>
      </c>
      <c r="BG12" s="49">
        <f>0.45*($AY12+273.15)/(BF12-$AY12)</f>
        <v>2.7676728869374316</v>
      </c>
      <c r="BH12" s="49" cm="1">
        <f t="array" ref="BH12">$BC12 * SUMPRODUCT(INDEX($AL$66:$AN$71,,$AE12),INDEX($AO$66:$AU$71,,$AD12), N($AK$66:$AK$71&gt;$AI12)) / BG12 / 1000</f>
        <v>0</v>
      </c>
      <c r="BI12" s="50">
        <f>IF($AD12&lt;=2, 30, 25)</f>
        <v>30</v>
      </c>
      <c r="BJ12" s="46">
        <f>MAX($N12, MAX($AZ12, BI12 + $BA12 + $BB12 + IF($AD12&lt;=2, (BI12-20)/(35-20), 0.6+0.4*(BI12-5)/(35-5))*0.35*$AG12*$BA12) + IF($AD12&lt;=2,0.9,0.8)*$BD12)</f>
        <v>46.033333333333331</v>
      </c>
      <c r="BK12" s="49">
        <f>0.45*($AY12+273.15)/(BJ12-$AY12)</f>
        <v>3.2297395388556791</v>
      </c>
      <c r="BL12" s="49" cm="1">
        <f t="array" ref="BL12">$BC12 * IF($AD12&lt;=2,
SUMPRODUCT(INDEX($AL$61:$AN$65,,$AE12), INDEX($AO$61:$AU$65,,$AD12), 1 / ($AV$61:$AV$65*BK12 + (1-$AV$61:$AV$65)*BG12), N($AK$61:$AK$65&gt;$AI12)),
SUMPRODUCT(INDEX($AL$56:$AN$65,,$AE12), INDEX($AO$56:$AU$65,,$AD12), 1 / ($AW$56:$AW$65*BK12 + (1-$AW$56:$AW$65)*BG12), N($AK$56:$AK$65&gt;$AI12))
) / 1000</f>
        <v>1.0054437552249487</v>
      </c>
      <c r="BM12" s="50">
        <f>IF($AD12&lt;=2, 25, 15)</f>
        <v>25</v>
      </c>
      <c r="BN12" s="46">
        <f>MAX($N12, MAX($AZ12, BM12 + $BA12 + $BB12 + IF($AD12&lt;=2, (BM12-20)/(35-20), 0.6+0.4*(BM12-5)/(35-5))*0.35*$AG12*$BA12) + IF($AD12&lt;=2,0.8,0.6)*$BD12)</f>
        <v>39.516666666666666</v>
      </c>
      <c r="BO12" s="49">
        <f>0.45*($AY12+273.15)/(BN12-$AY12)</f>
        <v>3.877011788826243</v>
      </c>
      <c r="BP12" s="49" cm="1">
        <f t="array" ref="BP12">$BC12 * IF($AD12&lt;=2,
SUMPRODUCT(INDEX($AL$56:$AN$60,,$AE12), INDEX($AO$56:$AU$60,,$AD12), 1 / ($AV$56:$AV$60*BO12 + (1-$AV$56:$AV$60)*BK12), N($AK$56:$AK$60&gt;$AI12)),
SUMPRODUCT(INDEX($AL$46:$AN$55,,$AE12), INDEX($AO$46:$AU$55,,$AD12), 1 / ($AW$46:$AW$55*BO12 + (1-$AW$46:$AW$55)*BK12), N($AK$46:$AK$55&gt;$AI12))
) / 1000</f>
        <v>5.0283485933076033</v>
      </c>
      <c r="BQ12" s="50">
        <f>IF($AD12&lt;=2, 20, 5)</f>
        <v>20</v>
      </c>
      <c r="BR12" s="46">
        <f>MAX($N12, MAX($AZ12, BQ12 + $BA12 + $BB12 + IF($AD12&lt;=2, (BQ12-20)/(35-20), 0.6+0.4*(BQ12-5)/(35-5))*0.35*$AG12*$BA12) + IF($AD12&lt;=2,0.7,0.4)*$BD12)</f>
        <v>33</v>
      </c>
      <c r="BS12" s="49">
        <f>0.45*($AY12+273.15)/(BR12-$AY12)</f>
        <v>4.8487499999999999</v>
      </c>
      <c r="BT12" s="49" cm="1">
        <f t="array" ref="BT12">$BC12 * IF($AD12&lt;=2,
SUMPRODUCT(INDEX($AL$51:$AN$55,,$AE12), INDEX($AO$51:$AU$55,,$AD12), 1 / ($AV$51:$AV$55*BS12 + (1-$AV$51:$AV$55)*BO12), N($AK$51:$AK$55&gt;$AI12)),
SUMPRODUCT(INDEX($AL$36:$AN$45,,$AE12), INDEX($AO$36:$AU$45,,$AD12), 1 / ($AW$36:$AW$45*BS12 + (1-$AW$36:$AW$45)*BO12), N($AK$36:$AK$45&gt;$AI12))
) / 1000</f>
        <v>3.5958220956266249</v>
      </c>
      <c r="BU12" s="49" cm="1">
        <f t="array" ref="BU12">$BC12 * IF($AD12&lt;=2,
SUMPRODUCT(INDEX($AL$12:$AN$50,,$AE12), INDEX($AO$12:$AU$50,,$AD12), 1 / ($AV$12:$AV$50*BS12), N($AK$12:$AK$50&gt;$AI12)),
SUMPRODUCT(INDEX($AL$12:$AN$35,,$AE12), INDEX($AO$12:$AU$35,,$AD12), 1 / ($AW$12:$AW$35*BS12), N($AK$12:$AK$35&gt;$AI12))
) / 1000</f>
        <v>0</v>
      </c>
      <c r="BV12" s="46">
        <f>BH12+BL12+BP12+BT12+BU12</f>
        <v>9.6296144441591771</v>
      </c>
      <c r="BW12" s="20"/>
      <c r="BX12" s="46">
        <f>U12 /  IF(AD12&lt;=2, 0.7 + 0.3 * (T12-20)/(35-20), 0.4 + 0.6 * (T12-5)/(35-5))</f>
        <v>0</v>
      </c>
      <c r="BY12" s="41">
        <v>35</v>
      </c>
      <c r="BZ12" s="46">
        <f>MAX($S12, MAX($AZ12, $BE12 + $BA12 + $BB12 + 0.35*$AH12*$BA12 + BX12))</f>
        <v>48</v>
      </c>
      <c r="CA12" s="49">
        <f>0.45*($AY12+273.15)/(BZ12-$AY12)</f>
        <v>3.0748170731707316</v>
      </c>
      <c r="CB12" s="49" cm="1">
        <f t="array" ref="CB12">$BC12 * SUMPRODUCT(INDEX($AL$66:$AN$71,,$AE12),INDEX($AO$66:$AU$71,,$AD12), N($AK$66:$AK$71&gt;$AI12)) / CA12 / 1000</f>
        <v>0</v>
      </c>
      <c r="CC12" s="50">
        <f>IF($AD12&lt;=2, 30, 25)</f>
        <v>30</v>
      </c>
      <c r="CD12" s="46">
        <f>MAX($S12, MAX($AZ12, CC12 + $BA12 + $BB12 + IF($AD12&lt;=2, (CC12-20)/(35-20), 0.6+0.4*(CC12-5)/(35-5))*0.35*$AH12*$BA12) + IF($AD12&lt;=2,0.9,0.8)*$BX12)</f>
        <v>43</v>
      </c>
      <c r="CE12" s="49">
        <f>0.45*($AY12+273.15)/(CD12-$AY12)</f>
        <v>3.5018750000000001</v>
      </c>
      <c r="CF12" s="49" cm="1">
        <f t="array" ref="CF12">$BC12 * IF($AD12&lt;=2,
SUMPRODUCT(INDEX($AL$61:$AN$65,,$AE12), INDEX($AO$61:$AU$65,,$AD12), 1 / ($AV$61:$AV$65*CE12 + (1-$AV$61:$AV$65)*CA12), N($AK$61:$AK$65&gt;$AI12)),
SUMPRODUCT(INDEX($AL$56:$AN$65,,$AE12), INDEX($AO$56:$AU$65,,$AD12), 1 / ($AW$56:$AW$65*CE12 + (1-$AW$56:$AW$65)*CA12), N($AK$56:$AK$65&gt;$AI12))
) / 1000</f>
        <v>0.92187449621202222</v>
      </c>
      <c r="CG12" s="50">
        <f>IF($AD12&lt;=2, 25, 15)</f>
        <v>25</v>
      </c>
      <c r="CH12" s="46">
        <f>MAX($S12, MAX($AZ12, CG12 + $BA12 + $BB12 + IF($AD12&lt;=2, (CG12-20)/(35-20), 0.6+0.4*(CG12-5)/(35-5))*0.35*$AH12*$BA12) + IF($AD12&lt;=2,0.8,0.6)*$BX12)</f>
        <v>38</v>
      </c>
      <c r="CI12" s="49">
        <f>0.45*($AY12+273.15)/(CH12-$AY12)</f>
        <v>4.0666935483870965</v>
      </c>
      <c r="CJ12" s="49" cm="1">
        <f t="array" ref="CJ12">$BC12 * IF($AD12&lt;=2,
SUMPRODUCT(INDEX($AL$56:$AN$60,,$AE12), INDEX($AO$56:$AU$60,,$AD12), 1 / ($AV$56:$AV$60*CI12 + (1-$AV$56:$AV$60)*CE12), N($AK$56:$AK$60&gt;$AI12)),
SUMPRODUCT(INDEX($AL$46:$AN$55,,$AE12), INDEX($AO$46:$AU$55,,$AD12), 1 / ($AW$46:$AW$55*CI12 + (1-$AW$46:$AW$55)*CE12), N($AK$46:$AK$55&gt;$AI12))
) / 1000</f>
        <v>4.7417389915257386</v>
      </c>
      <c r="CK12" s="50">
        <f>IF($AD12&lt;=2, 20, 5)</f>
        <v>20</v>
      </c>
      <c r="CL12" s="46">
        <f>MAX($S12, MAX($AZ12, CK12 + $BA12 + $BB12 + IF($AD12&lt;=2, (CK12-20)/(35-20), 0.6+0.4*(CK12-5)/(35-5))*0.35*$AH12*$BA12) + IF($AD12&lt;=2,0.7,0.4)*$BX12)</f>
        <v>33</v>
      </c>
      <c r="CM12" s="49">
        <f>0.45*($AY12+273.15)/(CL12-$AY12)</f>
        <v>4.8487499999999999</v>
      </c>
      <c r="CN12" s="49" cm="1">
        <f t="array" ref="CN12">$BC12 * IF($AD12&lt;=2,
SUMPRODUCT(INDEX($AL$51:$AN$55,,$AE12), INDEX($AO$51:$AU$55,,$AD12), 1 / ($AV$51:$AV$55*CM12 + (1-$AV$51:$AV$55)*CI12), N($AK$51:$AK$55&gt;$AI12)),
SUMPRODUCT(INDEX($AL$36:$AN$45,,$AE12), INDEX($AO$36:$AU$45,,$AD12), 1 / ($AW$36:$AW$45*CM12 + (1-$AW$36:$AW$45)*CI12), N($AK$36:$AK$45&gt;$AI12))
) / 1000</f>
        <v>3.5174701101308563</v>
      </c>
      <c r="CO12" s="49" cm="1">
        <f t="array" ref="CO12">$BC12 * IF($AD12&lt;=2,
SUMPRODUCT(INDEX($AL$12:$AN$50,,$AE12), INDEX($AO$12:$AU$50,,$AD12), 1 / ($AV$12:$AV$50*CM12), N($AK$12:$AK$50&gt;$AI12)),
SUMPRODUCT(INDEX($AL$12:$AN$35,,$AE12), INDEX($AO$12:$AU$35,,$AD12), 1 / ($AW$12:$AW$35*CM12), N($AK$12:$AK$35&gt;$AI12))
) / 1000</f>
        <v>0</v>
      </c>
      <c r="CP12" s="46">
        <f>CB12+CF12+CJ12+CN12+CO12</f>
        <v>9.1810835978686178</v>
      </c>
      <c r="CQ12" s="20"/>
    </row>
    <row r="13" spans="1:95" s="95" customFormat="1" ht="14.25" customHeight="1" x14ac:dyDescent="0.25">
      <c r="A13" s="36" t="b">
        <f t="shared" si="0"/>
        <v>0</v>
      </c>
      <c r="B13" s="94">
        <v>2</v>
      </c>
      <c r="C13" s="104" t="s">
        <v>4539</v>
      </c>
      <c r="D13" s="105" t="s">
        <v>4540</v>
      </c>
      <c r="E13" s="33">
        <v>8004</v>
      </c>
      <c r="F13" s="8" t="str">
        <f>IF(ISBLANK(E13), "", VLOOKUP(E13, Z!$A$2:$C$4127, 3, FALSE))</f>
        <v>Zürich</v>
      </c>
      <c r="G13" s="44" t="s">
        <v>4624</v>
      </c>
      <c r="H13" s="44" t="s">
        <v>4552</v>
      </c>
      <c r="I13" s="107" t="s">
        <v>4555</v>
      </c>
      <c r="J13" s="108" t="s">
        <v>4588</v>
      </c>
      <c r="K13" s="34">
        <v>20</v>
      </c>
      <c r="L13" s="59">
        <v>28</v>
      </c>
      <c r="M13" s="58" t="str" cm="1">
        <f t="array" ref="M13">IF($K13&gt;0, INDEX(Clean,1+AG13,$B$1), "")</f>
        <v>Verschmutzt</v>
      </c>
      <c r="N13" s="62"/>
      <c r="O13" s="62"/>
      <c r="P13" s="63"/>
      <c r="Q13" s="52">
        <f t="shared" ref="Q13:Q76" si="7">BV13</f>
        <v>13.261613830986404</v>
      </c>
      <c r="R13" s="58" t="str" cm="1">
        <f t="array" ref="R13">IF($K13&gt;0, INDEX(Clean,1+AH13,$B$1), "")</f>
        <v>Sauber</v>
      </c>
      <c r="S13" s="62"/>
      <c r="T13" s="62"/>
      <c r="U13" s="63"/>
      <c r="V13" s="52">
        <f t="shared" ref="V13:V76" si="8">CP13</f>
        <v>13.02490668455736</v>
      </c>
      <c r="W13" s="6" t="s">
        <v>4463</v>
      </c>
      <c r="X13" s="7" t="s">
        <v>3</v>
      </c>
      <c r="Y13" s="33">
        <v>8215</v>
      </c>
      <c r="Z13" s="8" t="str">
        <f>IF(ISBLANK(Y13), "", VLOOKUP(Y13, Z!$A$2:$C$4127, 3, FALSE))</f>
        <v>Hallau</v>
      </c>
      <c r="AA13" s="38">
        <v>45575</v>
      </c>
      <c r="AB13" s="9">
        <f t="shared" si="1"/>
        <v>0.177530359821783</v>
      </c>
      <c r="AC13" s="20"/>
      <c r="AD13" s="41">
        <f t="shared" si="2"/>
        <v>5</v>
      </c>
      <c r="AE13" s="41">
        <f t="shared" si="3"/>
        <v>3</v>
      </c>
      <c r="AF13" s="41">
        <f t="shared" si="4"/>
        <v>1</v>
      </c>
      <c r="AG13" s="41">
        <v>1</v>
      </c>
      <c r="AH13" s="41">
        <v>0</v>
      </c>
      <c r="AI13" s="41">
        <f t="shared" si="5"/>
        <v>11</v>
      </c>
      <c r="AJ13" s="20"/>
      <c r="AK13" s="41">
        <v>-18</v>
      </c>
      <c r="AL13" s="50">
        <v>0</v>
      </c>
      <c r="AM13" s="50">
        <v>0</v>
      </c>
      <c r="AN13" s="50">
        <v>0</v>
      </c>
      <c r="AO13" s="48">
        <f t="shared" si="6"/>
        <v>0</v>
      </c>
      <c r="AP13" s="48">
        <f t="shared" si="6"/>
        <v>0</v>
      </c>
      <c r="AQ13" s="48" cm="1">
        <f t="array" ref="AQ13">MIN(INDEX(Use,AQ$10,5) + MAX(0, (1-INDEX(Use,AQ$10,5))*($AK13-5)/(35-5)), 1)</f>
        <v>0.4</v>
      </c>
      <c r="AR13" s="48" cm="1">
        <f t="array" ref="AR13">MIN(INDEX(Use,AR$10,5) + MAX(0, (1-INDEX(Use,AR$10,5))*($AK13-5)/(35-5)), 1)</f>
        <v>0.6</v>
      </c>
      <c r="AS13" s="48" cm="1">
        <f t="array" ref="AS13">MIN(INDEX(Use,AS$10,5) + MAX(0, (1-INDEX(Use,AS$10,5))*($AK13-5)/(35-5)), 1)</f>
        <v>0.8</v>
      </c>
      <c r="AT13" s="48" cm="1">
        <f t="array" ref="AT13">MIN(INDEX(Use,AT$10,5) + MAX(0, (1-INDEX(Use,AT$10,5))*($AK13-5)/(35-5)), 1)</f>
        <v>0.8</v>
      </c>
      <c r="AU13" s="48" cm="1">
        <f t="array" ref="AU13">MIN(INDEX(Use,AU$10,5) + MAX(0, (1-INDEX(Use,AU$10,5))*($AK13-5)/(35-5)), 1)</f>
        <v>0.8</v>
      </c>
      <c r="AV13" s="48">
        <v>1</v>
      </c>
      <c r="AW13" s="48">
        <v>1</v>
      </c>
      <c r="AX13" s="15"/>
      <c r="AY13" s="41" cm="1">
        <f t="array" ref="AY13">INDEX(Use, $AD13, 4)</f>
        <v>13</v>
      </c>
      <c r="AZ13" s="41">
        <f t="shared" ref="AZ13:AZ76" si="9">MAX(25, AY13+25)</f>
        <v>38</v>
      </c>
      <c r="BA13" s="41">
        <f t="shared" ref="BA13:BA76" si="10">IF($AF13=1, 6, IF($AD13=4, 10, 13))</f>
        <v>6</v>
      </c>
      <c r="BB13" s="41">
        <f t="shared" ref="BB13:BB76" si="11">IF($AF13=1, 9, 0)</f>
        <v>9</v>
      </c>
      <c r="BC13" s="57" cm="1">
        <f t="array" ref="BC13">K13/IF($L13&gt;0, INDEX($AO$12:$AU$66, $L13+20, $AD13), 1)</f>
        <v>20.97902097902098</v>
      </c>
      <c r="BD13" s="46">
        <f t="shared" ref="BD13:BD76" si="12">P13 /  IF(AD13&lt;=2, 0.7 + 0.3 * (O13-20)/(35-20), 0.4 + 0.6 * (O13-5)/(35-5))</f>
        <v>0</v>
      </c>
      <c r="BE13" s="41">
        <v>35</v>
      </c>
      <c r="BF13" s="46">
        <f t="shared" ref="BF13:BF76" si="13">MAX($N13, MAX($AZ13, $BE13 + $BA13 + $BB13 + 0.35*$AG13*$BA13 + BD13))</f>
        <v>52.1</v>
      </c>
      <c r="BG13" s="49">
        <f t="shared" ref="BG13:BG76" si="14">0.45*($AY13+273.15)/(BF13-$AY13)</f>
        <v>3.2932864450127872</v>
      </c>
      <c r="BH13" s="49" cm="1">
        <f t="array" ref="BH13">$BC13 * SUMPRODUCT(INDEX($AL$66:$AN$71,,$AE13),INDEX($AO$66:$AU$71,,$AD13), N($AK$66:$AK$71&gt;$AI13)) / BG13 / 1000</f>
        <v>0</v>
      </c>
      <c r="BI13" s="50">
        <f t="shared" ref="BI13:BI76" si="15">IF($AD13&lt;=2, 30, 25)</f>
        <v>25</v>
      </c>
      <c r="BJ13" s="46">
        <f t="shared" ref="BJ13:BJ76" si="16">MAX($N13, MAX($AZ13, BI13 + $BA13 + $BB13 + IF($AD13&lt;=2, (BI13-20)/(35-20), 0.6+0.4*(BI13-5)/(35-5))*0.35*$AG13*$BA13) + IF($AD13&lt;=2,0.9,0.8)*$BD13)</f>
        <v>41.82</v>
      </c>
      <c r="BK13" s="49">
        <f t="shared" ref="BK13:BK76" si="17">0.45*($AY13+273.15)/(BJ13-$AY13)</f>
        <v>4.467990978487161</v>
      </c>
      <c r="BL13" s="49" cm="1">
        <f t="array" ref="BL13">$BC13 * IF($AD13&lt;=2,
SUMPRODUCT(INDEX($AL$61:$AN$65,,$AE13), INDEX($AO$61:$AU$65,,$AD13), 1 / ($AV$61:$AV$65*BK13 + (1-$AV$61:$AV$65)*BG13), N($AK$61:$AK$65&gt;$AI13)),
SUMPRODUCT(INDEX($AL$56:$AN$65,,$AE13), INDEX($AO$56:$AU$65,,$AD13), 1 / ($AW$56:$AW$65*BK13 + (1-$AW$56:$AW$65)*BG13), N($AK$56:$AK$65&gt;$AI13))
) / 1000</f>
        <v>0.88289524492829874</v>
      </c>
      <c r="BM13" s="50">
        <f t="shared" ref="BM13:BM76" si="18">IF($AD13&lt;=2, 25, 15)</f>
        <v>15</v>
      </c>
      <c r="BN13" s="46">
        <f t="shared" ref="BN13:BN76" si="19">MAX($N13, MAX($AZ13, BM13 + $BA13 + $BB13 + IF($AD13&lt;=2, (BM13-20)/(35-20), 0.6+0.4*(BM13-5)/(35-5))*0.35*$AG13*$BA13) + IF($AD13&lt;=2,0.8,0.6)*$BD13)</f>
        <v>38</v>
      </c>
      <c r="BO13" s="49">
        <f t="shared" ref="BO13:BO76" si="20">0.45*($AY13+273.15)/(BN13-$AY13)</f>
        <v>5.1506999999999996</v>
      </c>
      <c r="BP13" s="49" cm="1">
        <f t="array" ref="BP13">$BC13 * IF($AD13&lt;=2,
SUMPRODUCT(INDEX($AL$56:$AN$60,,$AE13), INDEX($AO$56:$AU$60,,$AD13), 1 / ($AV$56:$AV$60*BO13 + (1-$AV$56:$AV$60)*BK13), N($AK$56:$AK$60&gt;$AI13)),
SUMPRODUCT(INDEX($AL$46:$AN$55,,$AE13), INDEX($AO$46:$AU$55,,$AD13), 1 / ($AW$46:$AW$55*BO13 + (1-$AW$46:$AW$55)*BK13), N($AK$46:$AK$55&gt;$AI13))
) / 1000</f>
        <v>8.7312002434497735</v>
      </c>
      <c r="BQ13" s="50">
        <f t="shared" ref="BQ13:BQ76" si="21">IF($AD13&lt;=2, 20, 5)</f>
        <v>5</v>
      </c>
      <c r="BR13" s="46">
        <f t="shared" ref="BR13:BR76" si="22">MAX($N13, MAX($AZ13, BQ13 + $BA13 + $BB13 + IF($AD13&lt;=2, (BQ13-20)/(35-20), 0.6+0.4*(BQ13-5)/(35-5))*0.35*$AG13*$BA13) + IF($AD13&lt;=2,0.7,0.4)*$BD13)</f>
        <v>38</v>
      </c>
      <c r="BS13" s="49">
        <f t="shared" ref="BS13:BS76" si="23">0.45*($AY13+273.15)/(BR13-$AY13)</f>
        <v>5.1506999999999996</v>
      </c>
      <c r="BT13" s="49" cm="1">
        <f t="array" ref="BT13">$BC13 * IF($AD13&lt;=2,
SUMPRODUCT(INDEX($AL$51:$AN$55,,$AE13), INDEX($AO$51:$AU$55,,$AD13), 1 / ($AV$51:$AV$55*BS13 + (1-$AV$51:$AV$55)*BO13), N($AK$51:$AK$55&gt;$AI13)),
SUMPRODUCT(INDEX($AL$36:$AN$45,,$AE13), INDEX($AO$36:$AU$45,,$AD13), 1 / ($AW$36:$AW$45*BS13 + (1-$AW$36:$AW$45)*BO13), N($AK$36:$AK$45&gt;$AI13))
) / 1000</f>
        <v>3.6475183426083309</v>
      </c>
      <c r="BU13" s="49" cm="1">
        <f t="array" ref="BU13">$BC13 * IF($AD13&lt;=2,
SUMPRODUCT(INDEX($AL$12:$AN$50,,$AE13), INDEX($AO$12:$AU$50,,$AD13), 1 / ($AV$12:$AV$50*BS13), N($AK$12:$AK$50&gt;$AI13)),
SUMPRODUCT(INDEX($AL$12:$AN$35,,$AE13), INDEX($AO$12:$AU$35,,$AD13), 1 / ($AW$12:$AW$35*BS13), N($AK$12:$AK$35&gt;$AI13))
) / 1000</f>
        <v>0</v>
      </c>
      <c r="BV13" s="46">
        <f t="shared" ref="BV13:BV76" si="24">BH13+BL13+BP13+BT13+BU13</f>
        <v>13.261613830986404</v>
      </c>
      <c r="BW13" s="20"/>
      <c r="BX13" s="46">
        <f t="shared" ref="BX13:BX76" si="25">U13 /  IF(AD13&lt;=2, 0.7 + 0.3 * (T13-20)/(35-20), 0.4 + 0.6 * (T13-5)/(35-5))</f>
        <v>0</v>
      </c>
      <c r="BY13" s="41">
        <v>35</v>
      </c>
      <c r="BZ13" s="46">
        <f t="shared" ref="BZ13:BZ76" si="26">MAX($S13, MAX($AZ13, $BE13 + $BA13 + $BB13 + 0.35*$AH13*$BA13 + BX13))</f>
        <v>50</v>
      </c>
      <c r="CA13" s="49">
        <f t="shared" ref="CA13:CA76" si="27">0.45*($AY13+273.15)/(BZ13-$AY13)</f>
        <v>3.4802027027027025</v>
      </c>
      <c r="CB13" s="49" cm="1">
        <f t="array" ref="CB13">$BC13 * SUMPRODUCT(INDEX($AL$66:$AN$71,,$AE13),INDEX($AO$66:$AU$71,,$AD13), N($AK$66:$AK$71&gt;$AI13)) / CA13 / 1000</f>
        <v>0</v>
      </c>
      <c r="CC13" s="50">
        <f t="shared" ref="CC13:CC76" si="28">IF($AD13&lt;=2, 30, 25)</f>
        <v>25</v>
      </c>
      <c r="CD13" s="46">
        <f t="shared" ref="CD13:CD76" si="29">MAX($S13, MAX($AZ13, CC13 + $BA13 + $BB13 + IF($AD13&lt;=2, (CC13-20)/(35-20), 0.6+0.4*(CC13-5)/(35-5))*0.35*$AH13*$BA13) + IF($AD13&lt;=2,0.9,0.8)*$BX13)</f>
        <v>40</v>
      </c>
      <c r="CE13" s="49">
        <f t="shared" ref="CE13:CE76" si="30">0.45*($AY13+273.15)/(CD13-$AY13)</f>
        <v>4.7691666666666661</v>
      </c>
      <c r="CF13" s="49" cm="1">
        <f t="array" ref="CF13">$BC13 * IF($AD13&lt;=2,
SUMPRODUCT(INDEX($AL$61:$AN$65,,$AE13), INDEX($AO$61:$AU$65,,$AD13), 1 / ($AV$61:$AV$65*CE13 + (1-$AV$61:$AV$65)*CA13), N($AK$61:$AK$65&gt;$AI13)),
SUMPRODUCT(INDEX($AL$56:$AN$65,,$AE13), INDEX($AO$56:$AU$65,,$AD13), 1 / ($AW$56:$AW$65*CE13 + (1-$AW$56:$AW$65)*CA13), N($AK$56:$AK$65&gt;$AI13))
) / 1000</f>
        <v>0.82865383373062407</v>
      </c>
      <c r="CG13" s="50">
        <f t="shared" ref="CG13:CG76" si="31">IF($AD13&lt;=2, 25, 15)</f>
        <v>15</v>
      </c>
      <c r="CH13" s="46">
        <f t="shared" ref="CH13:CH76" si="32">MAX($S13, MAX($AZ13, CG13 + $BA13 + $BB13 + IF($AD13&lt;=2, (CG13-20)/(35-20), 0.6+0.4*(CG13-5)/(35-5))*0.35*$AH13*$BA13) + IF($AD13&lt;=2,0.8,0.6)*$BX13)</f>
        <v>38</v>
      </c>
      <c r="CI13" s="49">
        <f t="shared" ref="CI13:CI76" si="33">0.45*($AY13+273.15)/(CH13-$AY13)</f>
        <v>5.1506999999999996</v>
      </c>
      <c r="CJ13" s="49" cm="1">
        <f t="array" ref="CJ13">$BC13 * IF($AD13&lt;=2,
SUMPRODUCT(INDEX($AL$56:$AN$60,,$AE13), INDEX($AO$56:$AU$60,,$AD13), 1 / ($AV$56:$AV$60*CI13 + (1-$AV$56:$AV$60)*CE13), N($AK$56:$AK$60&gt;$AI13)),
SUMPRODUCT(INDEX($AL$46:$AN$55,,$AE13), INDEX($AO$46:$AU$55,,$AD13), 1 / ($AW$46:$AW$55*CI13 + (1-$AW$46:$AW$55)*CE13), N($AK$46:$AK$55&gt;$AI13))
) / 1000</f>
        <v>8.5487345082184056</v>
      </c>
      <c r="CK13" s="50">
        <f t="shared" ref="CK13:CK76" si="34">IF($AD13&lt;=2, 20, 5)</f>
        <v>5</v>
      </c>
      <c r="CL13" s="46">
        <f t="shared" ref="CL13:CL76" si="35">MAX($S13, MAX($AZ13, CK13 + $BA13 + $BB13 + IF($AD13&lt;=2, (CK13-20)/(35-20), 0.6+0.4*(CK13-5)/(35-5))*0.35*$AH13*$BA13) + IF($AD13&lt;=2,0.7,0.4)*$BX13)</f>
        <v>38</v>
      </c>
      <c r="CM13" s="49">
        <f t="shared" ref="CM13:CM76" si="36">0.45*($AY13+273.15)/(CL13-$AY13)</f>
        <v>5.1506999999999996</v>
      </c>
      <c r="CN13" s="49" cm="1">
        <f t="array" ref="CN13">$BC13 * IF($AD13&lt;=2,
SUMPRODUCT(INDEX($AL$51:$AN$55,,$AE13), INDEX($AO$51:$AU$55,,$AD13), 1 / ($AV$51:$AV$55*CM13 + (1-$AV$51:$AV$55)*CI13), N($AK$51:$AK$55&gt;$AI13)),
SUMPRODUCT(INDEX($AL$36:$AN$45,,$AE13), INDEX($AO$36:$AU$45,,$AD13), 1 / ($AW$36:$AW$45*CM13 + (1-$AW$36:$AW$45)*CI13), N($AK$36:$AK$45&gt;$AI13))
) / 1000</f>
        <v>3.6475183426083309</v>
      </c>
      <c r="CO13" s="49" cm="1">
        <f t="array" ref="CO13">$BC13 * IF($AD13&lt;=2,
SUMPRODUCT(INDEX($AL$12:$AN$50,,$AE13), INDEX($AO$12:$AU$50,,$AD13), 1 / ($AV$12:$AV$50*CM13), N($AK$12:$AK$50&gt;$AI13)),
SUMPRODUCT(INDEX($AL$12:$AN$35,,$AE13), INDEX($AO$12:$AU$35,,$AD13), 1 / ($AW$12:$AW$35*CM13), N($AK$12:$AK$35&gt;$AI13))
) / 1000</f>
        <v>0</v>
      </c>
      <c r="CP13" s="46">
        <f t="shared" ref="CP13:CP76" si="37">CB13+CF13+CJ13+CN13+CO13</f>
        <v>13.02490668455736</v>
      </c>
      <c r="CQ13" s="20"/>
    </row>
    <row r="14" spans="1:95" s="95" customFormat="1" ht="14.25" customHeight="1" x14ac:dyDescent="0.25">
      <c r="A14" s="36" t="b">
        <f t="shared" si="0"/>
        <v>1</v>
      </c>
      <c r="B14" s="94">
        <v>3</v>
      </c>
      <c r="C14" s="106" t="s">
        <v>4644</v>
      </c>
      <c r="D14" s="106" t="s">
        <v>4645</v>
      </c>
      <c r="E14" s="33">
        <v>1201</v>
      </c>
      <c r="F14" s="8" t="str">
        <f>IF(ISBLANK(E14), "", VLOOKUP(E14, Z!$A$2:$C$4127, 3, FALSE))</f>
        <v>Genève</v>
      </c>
      <c r="G14" s="44" t="s">
        <v>4621</v>
      </c>
      <c r="H14" s="44" t="s">
        <v>4550</v>
      </c>
      <c r="I14" s="107" t="s">
        <v>4555</v>
      </c>
      <c r="J14" s="108"/>
      <c r="K14" s="34">
        <v>50</v>
      </c>
      <c r="L14" s="59">
        <v>35</v>
      </c>
      <c r="M14" s="58" t="str" cm="1">
        <f t="array" ref="M14">IF($K14&gt;0, INDEX(Clean,1+AG14,$B$1), "")</f>
        <v>Verschmutzt</v>
      </c>
      <c r="N14" s="62"/>
      <c r="O14" s="62"/>
      <c r="P14" s="63"/>
      <c r="Q14" s="52">
        <f t="shared" si="7"/>
        <v>82.656976714672538</v>
      </c>
      <c r="R14" s="58" t="str" cm="1">
        <f t="array" ref="R14">IF($K14&gt;0, INDEX(Clean,1+AH14,$B$1), "")</f>
        <v>Sauber</v>
      </c>
      <c r="S14" s="62"/>
      <c r="T14" s="62"/>
      <c r="U14" s="63"/>
      <c r="V14" s="52">
        <f t="shared" si="8"/>
        <v>80.654864129189306</v>
      </c>
      <c r="W14" s="6" t="s">
        <v>4463</v>
      </c>
      <c r="X14" s="7" t="s">
        <v>3</v>
      </c>
      <c r="Y14" s="33">
        <v>8215</v>
      </c>
      <c r="Z14" s="8" t="str">
        <f>IF(ISBLANK(Y14), "", VLOOKUP(Y14, Z!$A$2:$C$4127, 3, FALSE))</f>
        <v>Hallau</v>
      </c>
      <c r="AA14" s="38">
        <v>45419</v>
      </c>
      <c r="AB14" s="9">
        <f t="shared" si="1"/>
        <v>1.501584439112424</v>
      </c>
      <c r="AC14" s="20"/>
      <c r="AD14" s="41">
        <f t="shared" si="2"/>
        <v>3</v>
      </c>
      <c r="AE14" s="41">
        <f t="shared" si="3"/>
        <v>2</v>
      </c>
      <c r="AF14" s="41">
        <f t="shared" si="4"/>
        <v>1</v>
      </c>
      <c r="AG14" s="41">
        <v>1</v>
      </c>
      <c r="AH14" s="41">
        <v>0</v>
      </c>
      <c r="AI14" s="41">
        <f t="shared" si="5"/>
        <v>-100</v>
      </c>
      <c r="AJ14" s="20"/>
      <c r="AK14" s="41">
        <v>-17</v>
      </c>
      <c r="AL14" s="50">
        <v>0</v>
      </c>
      <c r="AM14" s="50">
        <v>0</v>
      </c>
      <c r="AN14" s="50">
        <v>0</v>
      </c>
      <c r="AO14" s="48">
        <f t="shared" si="6"/>
        <v>0</v>
      </c>
      <c r="AP14" s="48">
        <f t="shared" si="6"/>
        <v>0</v>
      </c>
      <c r="AQ14" s="48" cm="1">
        <f t="array" ref="AQ14">MIN(INDEX(Use,AQ$10,5) + MAX(0, (1-INDEX(Use,AQ$10,5))*($AK14-5)/(35-5)), 1)</f>
        <v>0.4</v>
      </c>
      <c r="AR14" s="48" cm="1">
        <f t="array" ref="AR14">MIN(INDEX(Use,AR$10,5) + MAX(0, (1-INDEX(Use,AR$10,5))*($AK14-5)/(35-5)), 1)</f>
        <v>0.6</v>
      </c>
      <c r="AS14" s="48" cm="1">
        <f t="array" ref="AS14">MIN(INDEX(Use,AS$10,5) + MAX(0, (1-INDEX(Use,AS$10,5))*($AK14-5)/(35-5)), 1)</f>
        <v>0.8</v>
      </c>
      <c r="AT14" s="48" cm="1">
        <f t="array" ref="AT14">MIN(INDEX(Use,AT$10,5) + MAX(0, (1-INDEX(Use,AT$10,5))*($AK14-5)/(35-5)), 1)</f>
        <v>0.8</v>
      </c>
      <c r="AU14" s="48" cm="1">
        <f t="array" ref="AU14">MIN(INDEX(Use,AU$10,5) + MAX(0, (1-INDEX(Use,AU$10,5))*($AK14-5)/(35-5)), 1)</f>
        <v>0.8</v>
      </c>
      <c r="AV14" s="48">
        <v>1</v>
      </c>
      <c r="AW14" s="48">
        <v>1</v>
      </c>
      <c r="AX14" s="15"/>
      <c r="AY14" s="41" cm="1">
        <f t="array" ref="AY14">INDEX(Use, $AD14, 4)</f>
        <v>-10</v>
      </c>
      <c r="AZ14" s="41">
        <f t="shared" si="9"/>
        <v>25</v>
      </c>
      <c r="BA14" s="41">
        <f t="shared" si="10"/>
        <v>6</v>
      </c>
      <c r="BB14" s="41">
        <f t="shared" si="11"/>
        <v>9</v>
      </c>
      <c r="BC14" s="57" cm="1">
        <f t="array" ref="BC14">K14/IF($L14&gt;0, INDEX($AO$12:$AU$66, $L14+20, $AD14), 1)</f>
        <v>50</v>
      </c>
      <c r="BD14" s="46">
        <f t="shared" si="12"/>
        <v>0</v>
      </c>
      <c r="BE14" s="41">
        <v>35</v>
      </c>
      <c r="BF14" s="46">
        <f t="shared" si="13"/>
        <v>52.1</v>
      </c>
      <c r="BG14" s="49">
        <f t="shared" si="14"/>
        <v>1.9068840579710142</v>
      </c>
      <c r="BH14" s="49" cm="1">
        <f t="array" ref="BH14">$BC14 * SUMPRODUCT(INDEX($AL$66:$AN$71,,$AE14),INDEX($AO$66:$AU$71,,$AD14), N($AK$66:$AK$71&gt;$AI14)) / BG14 / 1000</f>
        <v>5.2441573247197427E-2</v>
      </c>
      <c r="BI14" s="50">
        <f t="shared" si="15"/>
        <v>25</v>
      </c>
      <c r="BJ14" s="46">
        <f t="shared" si="16"/>
        <v>41.82</v>
      </c>
      <c r="BK14" s="49">
        <f t="shared" si="17"/>
        <v>2.285169818602856</v>
      </c>
      <c r="BL14" s="49" cm="1">
        <f t="array" ref="BL14">$BC14 * IF($AD14&lt;=2,
SUMPRODUCT(INDEX($AL$61:$AN$65,,$AE14), INDEX($AO$61:$AU$65,,$AD14), 1 / ($AV$61:$AV$65*BK14 + (1-$AV$61:$AV$65)*BG14), N($AK$61:$AK$65&gt;$AI14)),
SUMPRODUCT(INDEX($AL$56:$AN$65,,$AE14), INDEX($AO$56:$AU$65,,$AD14), 1 / ($AW$56:$AW$65*BK14 + (1-$AW$56:$AW$65)*BG14), N($AK$56:$AK$65&gt;$AI14))
) / 1000</f>
        <v>9.491437189412915</v>
      </c>
      <c r="BM14" s="50">
        <f t="shared" si="18"/>
        <v>15</v>
      </c>
      <c r="BN14" s="46">
        <f t="shared" si="19"/>
        <v>31.54</v>
      </c>
      <c r="BO14" s="49">
        <f t="shared" si="20"/>
        <v>2.8506860857005294</v>
      </c>
      <c r="BP14" s="49" cm="1">
        <f t="array" ref="BP14">$BC14 * IF($AD14&lt;=2,
SUMPRODUCT(INDEX($AL$56:$AN$60,,$AE14), INDEX($AO$56:$AU$60,,$AD14), 1 / ($AV$56:$AV$60*BO14 + (1-$AV$56:$AV$60)*BK14), N($AK$56:$AK$60&gt;$AI14)),
SUMPRODUCT(INDEX($AL$46:$AN$55,,$AE14), INDEX($AO$46:$AU$55,,$AD14), 1 / ($AW$46:$AW$55*BO14 + (1-$AW$46:$AW$55)*BK14), N($AK$46:$AK$55&gt;$AI14))
) / 1000</f>
        <v>31.530387683256794</v>
      </c>
      <c r="BQ14" s="50">
        <f t="shared" si="21"/>
        <v>5</v>
      </c>
      <c r="BR14" s="46">
        <f t="shared" si="22"/>
        <v>25</v>
      </c>
      <c r="BS14" s="49">
        <f t="shared" si="23"/>
        <v>3.3833571428571427</v>
      </c>
      <c r="BT14" s="49" cm="1">
        <f t="array" ref="BT14">$BC14 * IF($AD14&lt;=2,
SUMPRODUCT(INDEX($AL$51:$AN$55,,$AE14), INDEX($AO$51:$AU$55,,$AD14), 1 / ($AV$51:$AV$55*BS14 + (1-$AV$51:$AV$55)*BO14), N($AK$51:$AK$55&gt;$AI14)),
SUMPRODUCT(INDEX($AL$36:$AN$45,,$AE14), INDEX($AO$36:$AU$45,,$AD14), 1 / ($AW$36:$AW$45*BS14 + (1-$AW$36:$AW$45)*BO14), N($AK$36:$AK$45&gt;$AI14))
) / 1000</f>
        <v>28.985754582307262</v>
      </c>
      <c r="BU14" s="49" cm="1">
        <f t="array" ref="BU14">$BC14 * IF($AD14&lt;=2,
SUMPRODUCT(INDEX($AL$12:$AN$50,,$AE14), INDEX($AO$12:$AU$50,,$AD14), 1 / ($AV$12:$AV$50*BS14), N($AK$12:$AK$50&gt;$AI14)),
SUMPRODUCT(INDEX($AL$12:$AN$35,,$AE14), INDEX($AO$12:$AU$35,,$AD14), 1 / ($AW$12:$AW$35*BS14), N($AK$12:$AK$35&gt;$AI14))
) / 1000</f>
        <v>12.596955686448373</v>
      </c>
      <c r="BV14" s="46">
        <f t="shared" si="24"/>
        <v>82.656976714672538</v>
      </c>
      <c r="BW14" s="20"/>
      <c r="BX14" s="46">
        <f t="shared" si="25"/>
        <v>0</v>
      </c>
      <c r="BY14" s="41">
        <v>35</v>
      </c>
      <c r="BZ14" s="46">
        <f t="shared" si="26"/>
        <v>50</v>
      </c>
      <c r="CA14" s="49">
        <f t="shared" si="27"/>
        <v>1.9736249999999997</v>
      </c>
      <c r="CB14" s="49" cm="1">
        <f t="array" ref="CB14">$BC14 * SUMPRODUCT(INDEX($AL$66:$AN$71,,$AE14),INDEX($AO$66:$AU$71,,$AD14), N($AK$66:$AK$71&gt;$AI14)) / CA14 / 1000</f>
        <v>5.066818671226804E-2</v>
      </c>
      <c r="CC14" s="50">
        <f t="shared" si="28"/>
        <v>25</v>
      </c>
      <c r="CD14" s="46">
        <f t="shared" si="29"/>
        <v>40</v>
      </c>
      <c r="CE14" s="49">
        <f t="shared" si="30"/>
        <v>2.36835</v>
      </c>
      <c r="CF14" s="49" cm="1">
        <f t="array" ref="CF14">$BC14 * IF($AD14&lt;=2,
SUMPRODUCT(INDEX($AL$61:$AN$65,,$AE14), INDEX($AO$61:$AU$65,,$AD14), 1 / ($AV$61:$AV$65*CE14 + (1-$AV$61:$AV$65)*CA14), N($AK$61:$AK$65&gt;$AI14)),
SUMPRODUCT(INDEX($AL$56:$AN$65,,$AE14), INDEX($AO$56:$AU$65,,$AD14), 1 / ($AW$56:$AW$65*CE14 + (1-$AW$56:$AW$65)*CA14), N($AK$56:$AK$65&gt;$AI14))
) / 1000</f>
        <v>9.1607991087126504</v>
      </c>
      <c r="CG14" s="50">
        <f t="shared" si="31"/>
        <v>15</v>
      </c>
      <c r="CH14" s="46">
        <f t="shared" si="32"/>
        <v>30</v>
      </c>
      <c r="CI14" s="49">
        <f t="shared" si="33"/>
        <v>2.9604374999999998</v>
      </c>
      <c r="CJ14" s="49" cm="1">
        <f t="array" ref="CJ14">$BC14 * IF($AD14&lt;=2,
SUMPRODUCT(INDEX($AL$56:$AN$60,,$AE14), INDEX($AO$56:$AU$60,,$AD14), 1 / ($AV$56:$AV$60*CI14 + (1-$AV$56:$AV$60)*CE14), N($AK$56:$AK$60&gt;$AI14)),
SUMPRODUCT(INDEX($AL$46:$AN$55,,$AE14), INDEX($AO$46:$AU$55,,$AD14), 1 / ($AW$46:$AW$55*CI14 + (1-$AW$46:$AW$55)*CE14), N($AK$46:$AK$55&gt;$AI14))
) / 1000</f>
        <v>30.383516355040783</v>
      </c>
      <c r="CK14" s="50">
        <f t="shared" si="34"/>
        <v>5</v>
      </c>
      <c r="CL14" s="46">
        <f t="shared" si="35"/>
        <v>25</v>
      </c>
      <c r="CM14" s="49">
        <f t="shared" si="36"/>
        <v>3.3833571428571427</v>
      </c>
      <c r="CN14" s="49" cm="1">
        <f t="array" ref="CN14">$BC14 * IF($AD14&lt;=2,
SUMPRODUCT(INDEX($AL$51:$AN$55,,$AE14), INDEX($AO$51:$AU$55,,$AD14), 1 / ($AV$51:$AV$55*CM14 + (1-$AV$51:$AV$55)*CI14), N($AK$51:$AK$55&gt;$AI14)),
SUMPRODUCT(INDEX($AL$36:$AN$45,,$AE14), INDEX($AO$36:$AU$45,,$AD14), 1 / ($AW$36:$AW$45*CM14 + (1-$AW$36:$AW$45)*CI14), N($AK$36:$AK$45&gt;$AI14))
) / 1000</f>
        <v>28.462924792275246</v>
      </c>
      <c r="CO14" s="49" cm="1">
        <f t="array" ref="CO14">$BC14 * IF($AD14&lt;=2,
SUMPRODUCT(INDEX($AL$12:$AN$50,,$AE14), INDEX($AO$12:$AU$50,,$AD14), 1 / ($AV$12:$AV$50*CM14), N($AK$12:$AK$50&gt;$AI14)),
SUMPRODUCT(INDEX($AL$12:$AN$35,,$AE14), INDEX($AO$12:$AU$35,,$AD14), 1 / ($AW$12:$AW$35*CM14), N($AK$12:$AK$35&gt;$AI14))
) / 1000</f>
        <v>12.596955686448373</v>
      </c>
      <c r="CP14" s="46">
        <f t="shared" si="37"/>
        <v>80.654864129189306</v>
      </c>
      <c r="CQ14" s="20"/>
    </row>
    <row r="15" spans="1:95" s="95" customFormat="1" ht="14.25" customHeight="1" x14ac:dyDescent="0.25">
      <c r="A15" s="36" t="b">
        <f t="shared" si="0"/>
        <v>0</v>
      </c>
      <c r="B15" s="94">
        <v>4</v>
      </c>
      <c r="C15" s="7"/>
      <c r="D15" s="7"/>
      <c r="E15" s="33"/>
      <c r="F15" s="8" t="str">
        <f>IF(ISBLANK(E15), "", VLOOKUP(E15, Z!$A$2:$C$4127, 3, FALSE))</f>
        <v/>
      </c>
      <c r="G15" s="44"/>
      <c r="H15" s="44"/>
      <c r="I15" s="107"/>
      <c r="J15" s="108"/>
      <c r="K15" s="34"/>
      <c r="L15" s="59"/>
      <c r="M15" s="58" t="str" cm="1">
        <f t="array" ref="M15">IF($K15&gt;0, INDEX(Clean,1+AG15,$B$1), "")</f>
        <v/>
      </c>
      <c r="N15" s="62"/>
      <c r="O15" s="62"/>
      <c r="P15" s="63"/>
      <c r="Q15" s="52">
        <f t="shared" si="7"/>
        <v>0</v>
      </c>
      <c r="R15" s="58" t="str" cm="1">
        <f t="array" ref="R15">IF($K15&gt;0, INDEX(Clean,1+AH15,$B$1), "")</f>
        <v/>
      </c>
      <c r="S15" s="62"/>
      <c r="T15" s="62"/>
      <c r="U15" s="63"/>
      <c r="V15" s="52">
        <f t="shared" si="8"/>
        <v>0</v>
      </c>
      <c r="W15" s="6"/>
      <c r="X15" s="7"/>
      <c r="Y15" s="33"/>
      <c r="Z15" s="8" t="str">
        <f>IF(ISBLANK(Y15), "", VLOOKUP(Y15, Z!$A$2:$C$4127, 3, FALSE))</f>
        <v/>
      </c>
      <c r="AA15" s="38"/>
      <c r="AB15" s="9">
        <f t="shared" si="1"/>
        <v>0</v>
      </c>
      <c r="AC15" s="20"/>
      <c r="AD15" s="41">
        <f t="shared" si="2"/>
        <v>1</v>
      </c>
      <c r="AE15" s="41">
        <f t="shared" si="3"/>
        <v>1</v>
      </c>
      <c r="AF15" s="41">
        <f t="shared" si="4"/>
        <v>0</v>
      </c>
      <c r="AG15" s="41">
        <v>1</v>
      </c>
      <c r="AH15" s="41">
        <v>0</v>
      </c>
      <c r="AI15" s="41">
        <f t="shared" si="5"/>
        <v>-100</v>
      </c>
      <c r="AJ15" s="20"/>
      <c r="AK15" s="41">
        <v>-16</v>
      </c>
      <c r="AL15" s="50">
        <v>0</v>
      </c>
      <c r="AM15" s="50">
        <v>0</v>
      </c>
      <c r="AN15" s="50">
        <v>0</v>
      </c>
      <c r="AO15" s="48">
        <f t="shared" si="6"/>
        <v>0</v>
      </c>
      <c r="AP15" s="48">
        <f t="shared" si="6"/>
        <v>0</v>
      </c>
      <c r="AQ15" s="48" cm="1">
        <f t="array" ref="AQ15">MIN(INDEX(Use,AQ$10,5) + MAX(0, (1-INDEX(Use,AQ$10,5))*($AK15-5)/(35-5)), 1)</f>
        <v>0.4</v>
      </c>
      <c r="AR15" s="48" cm="1">
        <f t="array" ref="AR15">MIN(INDEX(Use,AR$10,5) + MAX(0, (1-INDEX(Use,AR$10,5))*($AK15-5)/(35-5)), 1)</f>
        <v>0.6</v>
      </c>
      <c r="AS15" s="48" cm="1">
        <f t="array" ref="AS15">MIN(INDEX(Use,AS$10,5) + MAX(0, (1-INDEX(Use,AS$10,5))*($AK15-5)/(35-5)), 1)</f>
        <v>0.8</v>
      </c>
      <c r="AT15" s="48" cm="1">
        <f t="array" ref="AT15">MIN(INDEX(Use,AT$10,5) + MAX(0, (1-INDEX(Use,AT$10,5))*($AK15-5)/(35-5)), 1)</f>
        <v>0.8</v>
      </c>
      <c r="AU15" s="48" cm="1">
        <f t="array" ref="AU15">MIN(INDEX(Use,AU$10,5) + MAX(0, (1-INDEX(Use,AU$10,5))*($AK15-5)/(35-5)), 1)</f>
        <v>0.8</v>
      </c>
      <c r="AV15" s="48">
        <v>1</v>
      </c>
      <c r="AW15" s="48">
        <v>1</v>
      </c>
      <c r="AX15" s="15"/>
      <c r="AY15" s="41" cm="1">
        <f t="array" ref="AY15">INDEX(Use, $AD15, 4)</f>
        <v>7</v>
      </c>
      <c r="AZ15" s="41">
        <f t="shared" si="9"/>
        <v>32</v>
      </c>
      <c r="BA15" s="41">
        <f t="shared" si="10"/>
        <v>13</v>
      </c>
      <c r="BB15" s="41">
        <f t="shared" si="11"/>
        <v>0</v>
      </c>
      <c r="BC15" s="57" cm="1">
        <f t="array" ref="BC15">K15/IF($L15&gt;0, INDEX($AO$12:$AU$66, $L15+20, $AD15), 1)</f>
        <v>0</v>
      </c>
      <c r="BD15" s="46">
        <f t="shared" si="12"/>
        <v>0</v>
      </c>
      <c r="BE15" s="41">
        <v>35</v>
      </c>
      <c r="BF15" s="46">
        <f t="shared" si="13"/>
        <v>52.55</v>
      </c>
      <c r="BG15" s="49">
        <f t="shared" si="14"/>
        <v>2.7676728869374316</v>
      </c>
      <c r="BH15" s="49" cm="1">
        <f t="array" ref="BH15">$BC15 * SUMPRODUCT(INDEX($AL$66:$AN$71,,$AE15),INDEX($AO$66:$AU$71,,$AD15), N($AK$66:$AK$71&gt;$AI15)) / BG15 / 1000</f>
        <v>0</v>
      </c>
      <c r="BI15" s="50">
        <f t="shared" si="15"/>
        <v>30</v>
      </c>
      <c r="BJ15" s="46">
        <f t="shared" si="16"/>
        <v>46.033333333333331</v>
      </c>
      <c r="BK15" s="49">
        <f t="shared" si="17"/>
        <v>3.2297395388556791</v>
      </c>
      <c r="BL15" s="49" cm="1">
        <f t="array" ref="BL15">$BC15 * IF($AD15&lt;=2,
SUMPRODUCT(INDEX($AL$61:$AN$65,,$AE15), INDEX($AO$61:$AU$65,,$AD15), 1 / ($AV$61:$AV$65*BK15 + (1-$AV$61:$AV$65)*BG15), N($AK$61:$AK$65&gt;$AI15)),
SUMPRODUCT(INDEX($AL$56:$AN$65,,$AE15), INDEX($AO$56:$AU$65,,$AD15), 1 / ($AW$56:$AW$65*BK15 + (1-$AW$56:$AW$65)*BG15), N($AK$56:$AK$65&gt;$AI15))
) / 1000</f>
        <v>0</v>
      </c>
      <c r="BM15" s="50">
        <f t="shared" si="18"/>
        <v>25</v>
      </c>
      <c r="BN15" s="46">
        <f t="shared" si="19"/>
        <v>39.516666666666666</v>
      </c>
      <c r="BO15" s="49">
        <f t="shared" si="20"/>
        <v>3.877011788826243</v>
      </c>
      <c r="BP15" s="49" cm="1">
        <f t="array" ref="BP15">$BC15 * IF($AD15&lt;=2,
SUMPRODUCT(INDEX($AL$56:$AN$60,,$AE15), INDEX($AO$56:$AU$60,,$AD15), 1 / ($AV$56:$AV$60*BO15 + (1-$AV$56:$AV$60)*BK15), N($AK$56:$AK$60&gt;$AI15)),
SUMPRODUCT(INDEX($AL$46:$AN$55,,$AE15), INDEX($AO$46:$AU$55,,$AD15), 1 / ($AW$46:$AW$55*BO15 + (1-$AW$46:$AW$55)*BK15), N($AK$46:$AK$55&gt;$AI15))
) / 1000</f>
        <v>0</v>
      </c>
      <c r="BQ15" s="50">
        <f t="shared" si="21"/>
        <v>20</v>
      </c>
      <c r="BR15" s="46">
        <f t="shared" si="22"/>
        <v>33</v>
      </c>
      <c r="BS15" s="49">
        <f t="shared" si="23"/>
        <v>4.8487499999999999</v>
      </c>
      <c r="BT15" s="49" cm="1">
        <f t="array" ref="BT15">$BC15 * IF($AD15&lt;=2,
SUMPRODUCT(INDEX($AL$51:$AN$55,,$AE15), INDEX($AO$51:$AU$55,,$AD15), 1 / ($AV$51:$AV$55*BS15 + (1-$AV$51:$AV$55)*BO15), N($AK$51:$AK$55&gt;$AI15)),
SUMPRODUCT(INDEX($AL$36:$AN$45,,$AE15), INDEX($AO$36:$AU$45,,$AD15), 1 / ($AW$36:$AW$45*BS15 + (1-$AW$36:$AW$45)*BO15), N($AK$36:$AK$45&gt;$AI15))
) / 1000</f>
        <v>0</v>
      </c>
      <c r="BU15" s="49" cm="1">
        <f t="array" ref="BU15">$BC15 * IF($AD15&lt;=2,
SUMPRODUCT(INDEX($AL$12:$AN$50,,$AE15), INDEX($AO$12:$AU$50,,$AD15), 1 / ($AV$12:$AV$50*BS15), N($AK$12:$AK$50&gt;$AI15)),
SUMPRODUCT(INDEX($AL$12:$AN$35,,$AE15), INDEX($AO$12:$AU$35,,$AD15), 1 / ($AW$12:$AW$35*BS15), N($AK$12:$AK$35&gt;$AI15))
) / 1000</f>
        <v>0</v>
      </c>
      <c r="BV15" s="46">
        <f t="shared" si="24"/>
        <v>0</v>
      </c>
      <c r="BW15" s="20"/>
      <c r="BX15" s="46">
        <f t="shared" si="25"/>
        <v>0</v>
      </c>
      <c r="BY15" s="41">
        <v>35</v>
      </c>
      <c r="BZ15" s="46">
        <f t="shared" si="26"/>
        <v>48</v>
      </c>
      <c r="CA15" s="49">
        <f t="shared" si="27"/>
        <v>3.0748170731707316</v>
      </c>
      <c r="CB15" s="49" cm="1">
        <f t="array" ref="CB15">$BC15 * SUMPRODUCT(INDEX($AL$66:$AN$71,,$AE15),INDEX($AO$66:$AU$71,,$AD15), N($AK$66:$AK$71&gt;$AI15)) / CA15 / 1000</f>
        <v>0</v>
      </c>
      <c r="CC15" s="50">
        <f t="shared" si="28"/>
        <v>30</v>
      </c>
      <c r="CD15" s="46">
        <f t="shared" si="29"/>
        <v>43</v>
      </c>
      <c r="CE15" s="49">
        <f t="shared" si="30"/>
        <v>3.5018750000000001</v>
      </c>
      <c r="CF15" s="49" cm="1">
        <f t="array" ref="CF15">$BC15 * IF($AD15&lt;=2,
SUMPRODUCT(INDEX($AL$61:$AN$65,,$AE15), INDEX($AO$61:$AU$65,,$AD15), 1 / ($AV$61:$AV$65*CE15 + (1-$AV$61:$AV$65)*CA15), N($AK$61:$AK$65&gt;$AI15)),
SUMPRODUCT(INDEX($AL$56:$AN$65,,$AE15), INDEX($AO$56:$AU$65,,$AD15), 1 / ($AW$56:$AW$65*CE15 + (1-$AW$56:$AW$65)*CA15), N($AK$56:$AK$65&gt;$AI15))
) / 1000</f>
        <v>0</v>
      </c>
      <c r="CG15" s="50">
        <f t="shared" si="31"/>
        <v>25</v>
      </c>
      <c r="CH15" s="46">
        <f t="shared" si="32"/>
        <v>38</v>
      </c>
      <c r="CI15" s="49">
        <f t="shared" si="33"/>
        <v>4.0666935483870965</v>
      </c>
      <c r="CJ15" s="49" cm="1">
        <f t="array" ref="CJ15">$BC15 * IF($AD15&lt;=2,
SUMPRODUCT(INDEX($AL$56:$AN$60,,$AE15), INDEX($AO$56:$AU$60,,$AD15), 1 / ($AV$56:$AV$60*CI15 + (1-$AV$56:$AV$60)*CE15), N($AK$56:$AK$60&gt;$AI15)),
SUMPRODUCT(INDEX($AL$46:$AN$55,,$AE15), INDEX($AO$46:$AU$55,,$AD15), 1 / ($AW$46:$AW$55*CI15 + (1-$AW$46:$AW$55)*CE15), N($AK$46:$AK$55&gt;$AI15))
) / 1000</f>
        <v>0</v>
      </c>
      <c r="CK15" s="50">
        <f t="shared" si="34"/>
        <v>20</v>
      </c>
      <c r="CL15" s="46">
        <f t="shared" si="35"/>
        <v>33</v>
      </c>
      <c r="CM15" s="49">
        <f t="shared" si="36"/>
        <v>4.8487499999999999</v>
      </c>
      <c r="CN15" s="49" cm="1">
        <f t="array" ref="CN15">$BC15 * IF($AD15&lt;=2,
SUMPRODUCT(INDEX($AL$51:$AN$55,,$AE15), INDEX($AO$51:$AU$55,,$AD15), 1 / ($AV$51:$AV$55*CM15 + (1-$AV$51:$AV$55)*CI15), N($AK$51:$AK$55&gt;$AI15)),
SUMPRODUCT(INDEX($AL$36:$AN$45,,$AE15), INDEX($AO$36:$AU$45,,$AD15), 1 / ($AW$36:$AW$45*CM15 + (1-$AW$36:$AW$45)*CI15), N($AK$36:$AK$45&gt;$AI15))
) / 1000</f>
        <v>0</v>
      </c>
      <c r="CO15" s="49" cm="1">
        <f t="array" ref="CO15">$BC15 * IF($AD15&lt;=2,
SUMPRODUCT(INDEX($AL$12:$AN$50,,$AE15), INDEX($AO$12:$AU$50,,$AD15), 1 / ($AV$12:$AV$50*CM15), N($AK$12:$AK$50&gt;$AI15)),
SUMPRODUCT(INDEX($AL$12:$AN$35,,$AE15), INDEX($AO$12:$AU$35,,$AD15), 1 / ($AW$12:$AW$35*CM15), N($AK$12:$AK$35&gt;$AI15))
) / 1000</f>
        <v>0</v>
      </c>
      <c r="CP15" s="46">
        <f t="shared" si="37"/>
        <v>0</v>
      </c>
      <c r="CQ15" s="20"/>
    </row>
    <row r="16" spans="1:95" s="95" customFormat="1" ht="14.25" customHeight="1" x14ac:dyDescent="0.25">
      <c r="A16" s="36" t="b">
        <f t="shared" si="0"/>
        <v>0</v>
      </c>
      <c r="B16" s="94">
        <v>5</v>
      </c>
      <c r="C16" s="7"/>
      <c r="D16" s="7"/>
      <c r="E16" s="33"/>
      <c r="F16" s="8" t="str">
        <f>IF(ISBLANK(E16), "", VLOOKUP(E16, Z!$A$2:$C$4127, 3, FALSE))</f>
        <v/>
      </c>
      <c r="G16" s="44"/>
      <c r="H16" s="44"/>
      <c r="I16" s="107"/>
      <c r="J16" s="108"/>
      <c r="K16" s="34"/>
      <c r="L16" s="59"/>
      <c r="M16" s="58" t="str" cm="1">
        <f t="array" ref="M16">IF($K16&gt;0, INDEX(Clean,1+AG16,$B$1), "")</f>
        <v/>
      </c>
      <c r="N16" s="62"/>
      <c r="O16" s="62"/>
      <c r="P16" s="63"/>
      <c r="Q16" s="52">
        <f t="shared" si="7"/>
        <v>0</v>
      </c>
      <c r="R16" s="58" t="str" cm="1">
        <f t="array" ref="R16">IF($K16&gt;0, INDEX(Clean,1+AH16,$B$1), "")</f>
        <v/>
      </c>
      <c r="S16" s="62"/>
      <c r="T16" s="62"/>
      <c r="U16" s="63"/>
      <c r="V16" s="52">
        <f t="shared" si="8"/>
        <v>0</v>
      </c>
      <c r="W16" s="6"/>
      <c r="X16" s="7"/>
      <c r="Y16" s="33"/>
      <c r="Z16" s="8" t="str">
        <f>IF(ISBLANK(Y16), "", VLOOKUP(Y16, Z!$A$2:$C$4127, 3, FALSE))</f>
        <v/>
      </c>
      <c r="AA16" s="38"/>
      <c r="AB16" s="9">
        <f t="shared" si="1"/>
        <v>0</v>
      </c>
      <c r="AC16" s="20"/>
      <c r="AD16" s="41">
        <f t="shared" si="2"/>
        <v>1</v>
      </c>
      <c r="AE16" s="41">
        <f t="shared" si="3"/>
        <v>1</v>
      </c>
      <c r="AF16" s="41">
        <f t="shared" si="4"/>
        <v>0</v>
      </c>
      <c r="AG16" s="41">
        <v>1</v>
      </c>
      <c r="AH16" s="41">
        <v>0</v>
      </c>
      <c r="AI16" s="41">
        <f t="shared" si="5"/>
        <v>-100</v>
      </c>
      <c r="AJ16" s="20"/>
      <c r="AK16" s="41">
        <v>-15</v>
      </c>
      <c r="AL16" s="50">
        <v>0</v>
      </c>
      <c r="AM16" s="50">
        <v>0</v>
      </c>
      <c r="AN16" s="50">
        <v>0</v>
      </c>
      <c r="AO16" s="48">
        <f t="shared" si="6"/>
        <v>0</v>
      </c>
      <c r="AP16" s="48">
        <f t="shared" si="6"/>
        <v>0</v>
      </c>
      <c r="AQ16" s="48" cm="1">
        <f t="array" ref="AQ16">MIN(INDEX(Use,AQ$10,5) + MAX(0, (1-INDEX(Use,AQ$10,5))*($AK16-5)/(35-5)), 1)</f>
        <v>0.4</v>
      </c>
      <c r="AR16" s="48" cm="1">
        <f t="array" ref="AR16">MIN(INDEX(Use,AR$10,5) + MAX(0, (1-INDEX(Use,AR$10,5))*($AK16-5)/(35-5)), 1)</f>
        <v>0.6</v>
      </c>
      <c r="AS16" s="48" cm="1">
        <f t="array" ref="AS16">MIN(INDEX(Use,AS$10,5) + MAX(0, (1-INDEX(Use,AS$10,5))*($AK16-5)/(35-5)), 1)</f>
        <v>0.8</v>
      </c>
      <c r="AT16" s="48" cm="1">
        <f t="array" ref="AT16">MIN(INDEX(Use,AT$10,5) + MAX(0, (1-INDEX(Use,AT$10,5))*($AK16-5)/(35-5)), 1)</f>
        <v>0.8</v>
      </c>
      <c r="AU16" s="48" cm="1">
        <f t="array" ref="AU16">MIN(INDEX(Use,AU$10,5) + MAX(0, (1-INDEX(Use,AU$10,5))*($AK16-5)/(35-5)), 1)</f>
        <v>0.8</v>
      </c>
      <c r="AV16" s="48">
        <v>1</v>
      </c>
      <c r="AW16" s="48">
        <v>1</v>
      </c>
      <c r="AX16" s="15"/>
      <c r="AY16" s="41" cm="1">
        <f t="array" ref="AY16">INDEX(Use, $AD16, 4)</f>
        <v>7</v>
      </c>
      <c r="AZ16" s="41">
        <f t="shared" si="9"/>
        <v>32</v>
      </c>
      <c r="BA16" s="41">
        <f t="shared" si="10"/>
        <v>13</v>
      </c>
      <c r="BB16" s="41">
        <f t="shared" si="11"/>
        <v>0</v>
      </c>
      <c r="BC16" s="57" cm="1">
        <f t="array" ref="BC16">K16/IF($L16&gt;0, INDEX($AO$12:$AU$66, $L16+20, $AD16), 1)</f>
        <v>0</v>
      </c>
      <c r="BD16" s="46">
        <f t="shared" si="12"/>
        <v>0</v>
      </c>
      <c r="BE16" s="41">
        <v>35</v>
      </c>
      <c r="BF16" s="46">
        <f t="shared" si="13"/>
        <v>52.55</v>
      </c>
      <c r="BG16" s="49">
        <f t="shared" si="14"/>
        <v>2.7676728869374316</v>
      </c>
      <c r="BH16" s="49" cm="1">
        <f t="array" ref="BH16">$BC16 * SUMPRODUCT(INDEX($AL$66:$AN$71,,$AE16),INDEX($AO$66:$AU$71,,$AD16), N($AK$66:$AK$71&gt;$AI16)) / BG16 / 1000</f>
        <v>0</v>
      </c>
      <c r="BI16" s="50">
        <f t="shared" si="15"/>
        <v>30</v>
      </c>
      <c r="BJ16" s="46">
        <f t="shared" si="16"/>
        <v>46.033333333333331</v>
      </c>
      <c r="BK16" s="49">
        <f t="shared" si="17"/>
        <v>3.2297395388556791</v>
      </c>
      <c r="BL16" s="49" cm="1">
        <f t="array" ref="BL16">$BC16 * IF($AD16&lt;=2,
SUMPRODUCT(INDEX($AL$61:$AN$65,,$AE16), INDEX($AO$61:$AU$65,,$AD16), 1 / ($AV$61:$AV$65*BK16 + (1-$AV$61:$AV$65)*BG16), N($AK$61:$AK$65&gt;$AI16)),
SUMPRODUCT(INDEX($AL$56:$AN$65,,$AE16), INDEX($AO$56:$AU$65,,$AD16), 1 / ($AW$56:$AW$65*BK16 + (1-$AW$56:$AW$65)*BG16), N($AK$56:$AK$65&gt;$AI16))
) / 1000</f>
        <v>0</v>
      </c>
      <c r="BM16" s="50">
        <f t="shared" si="18"/>
        <v>25</v>
      </c>
      <c r="BN16" s="46">
        <f t="shared" si="19"/>
        <v>39.516666666666666</v>
      </c>
      <c r="BO16" s="49">
        <f t="shared" si="20"/>
        <v>3.877011788826243</v>
      </c>
      <c r="BP16" s="49" cm="1">
        <f t="array" ref="BP16">$BC16 * IF($AD16&lt;=2,
SUMPRODUCT(INDEX($AL$56:$AN$60,,$AE16), INDEX($AO$56:$AU$60,,$AD16), 1 / ($AV$56:$AV$60*BO16 + (1-$AV$56:$AV$60)*BK16), N($AK$56:$AK$60&gt;$AI16)),
SUMPRODUCT(INDEX($AL$46:$AN$55,,$AE16), INDEX($AO$46:$AU$55,,$AD16), 1 / ($AW$46:$AW$55*BO16 + (1-$AW$46:$AW$55)*BK16), N($AK$46:$AK$55&gt;$AI16))
) / 1000</f>
        <v>0</v>
      </c>
      <c r="BQ16" s="50">
        <f t="shared" si="21"/>
        <v>20</v>
      </c>
      <c r="BR16" s="46">
        <f t="shared" si="22"/>
        <v>33</v>
      </c>
      <c r="BS16" s="49">
        <f t="shared" si="23"/>
        <v>4.8487499999999999</v>
      </c>
      <c r="BT16" s="49" cm="1">
        <f t="array" ref="BT16">$BC16 * IF($AD16&lt;=2,
SUMPRODUCT(INDEX($AL$51:$AN$55,,$AE16), INDEX($AO$51:$AU$55,,$AD16), 1 / ($AV$51:$AV$55*BS16 + (1-$AV$51:$AV$55)*BO16), N($AK$51:$AK$55&gt;$AI16)),
SUMPRODUCT(INDEX($AL$36:$AN$45,,$AE16), INDEX($AO$36:$AU$45,,$AD16), 1 / ($AW$36:$AW$45*BS16 + (1-$AW$36:$AW$45)*BO16), N($AK$36:$AK$45&gt;$AI16))
) / 1000</f>
        <v>0</v>
      </c>
      <c r="BU16" s="49" cm="1">
        <f t="array" ref="BU16">$BC16 * IF($AD16&lt;=2,
SUMPRODUCT(INDEX($AL$12:$AN$50,,$AE16), INDEX($AO$12:$AU$50,,$AD16), 1 / ($AV$12:$AV$50*BS16), N($AK$12:$AK$50&gt;$AI16)),
SUMPRODUCT(INDEX($AL$12:$AN$35,,$AE16), INDEX($AO$12:$AU$35,,$AD16), 1 / ($AW$12:$AW$35*BS16), N($AK$12:$AK$35&gt;$AI16))
) / 1000</f>
        <v>0</v>
      </c>
      <c r="BV16" s="46">
        <f t="shared" si="24"/>
        <v>0</v>
      </c>
      <c r="BW16" s="20"/>
      <c r="BX16" s="46">
        <f t="shared" si="25"/>
        <v>0</v>
      </c>
      <c r="BY16" s="41">
        <v>35</v>
      </c>
      <c r="BZ16" s="46">
        <f t="shared" si="26"/>
        <v>48</v>
      </c>
      <c r="CA16" s="49">
        <f t="shared" si="27"/>
        <v>3.0748170731707316</v>
      </c>
      <c r="CB16" s="49" cm="1">
        <f t="array" ref="CB16">$BC16 * SUMPRODUCT(INDEX($AL$66:$AN$71,,$AE16),INDEX($AO$66:$AU$71,,$AD16), N($AK$66:$AK$71&gt;$AI16)) / CA16 / 1000</f>
        <v>0</v>
      </c>
      <c r="CC16" s="50">
        <f t="shared" si="28"/>
        <v>30</v>
      </c>
      <c r="CD16" s="46">
        <f t="shared" si="29"/>
        <v>43</v>
      </c>
      <c r="CE16" s="49">
        <f t="shared" si="30"/>
        <v>3.5018750000000001</v>
      </c>
      <c r="CF16" s="49" cm="1">
        <f t="array" ref="CF16">$BC16 * IF($AD16&lt;=2,
SUMPRODUCT(INDEX($AL$61:$AN$65,,$AE16), INDEX($AO$61:$AU$65,,$AD16), 1 / ($AV$61:$AV$65*CE16 + (1-$AV$61:$AV$65)*CA16), N($AK$61:$AK$65&gt;$AI16)),
SUMPRODUCT(INDEX($AL$56:$AN$65,,$AE16), INDEX($AO$56:$AU$65,,$AD16), 1 / ($AW$56:$AW$65*CE16 + (1-$AW$56:$AW$65)*CA16), N($AK$56:$AK$65&gt;$AI16))
) / 1000</f>
        <v>0</v>
      </c>
      <c r="CG16" s="50">
        <f t="shared" si="31"/>
        <v>25</v>
      </c>
      <c r="CH16" s="46">
        <f t="shared" si="32"/>
        <v>38</v>
      </c>
      <c r="CI16" s="49">
        <f t="shared" si="33"/>
        <v>4.0666935483870965</v>
      </c>
      <c r="CJ16" s="49" cm="1">
        <f t="array" ref="CJ16">$BC16 * IF($AD16&lt;=2,
SUMPRODUCT(INDEX($AL$56:$AN$60,,$AE16), INDEX($AO$56:$AU$60,,$AD16), 1 / ($AV$56:$AV$60*CI16 + (1-$AV$56:$AV$60)*CE16), N($AK$56:$AK$60&gt;$AI16)),
SUMPRODUCT(INDEX($AL$46:$AN$55,,$AE16), INDEX($AO$46:$AU$55,,$AD16), 1 / ($AW$46:$AW$55*CI16 + (1-$AW$46:$AW$55)*CE16), N($AK$46:$AK$55&gt;$AI16))
) / 1000</f>
        <v>0</v>
      </c>
      <c r="CK16" s="50">
        <f t="shared" si="34"/>
        <v>20</v>
      </c>
      <c r="CL16" s="46">
        <f t="shared" si="35"/>
        <v>33</v>
      </c>
      <c r="CM16" s="49">
        <f t="shared" si="36"/>
        <v>4.8487499999999999</v>
      </c>
      <c r="CN16" s="49" cm="1">
        <f t="array" ref="CN16">$BC16 * IF($AD16&lt;=2,
SUMPRODUCT(INDEX($AL$51:$AN$55,,$AE16), INDEX($AO$51:$AU$55,,$AD16), 1 / ($AV$51:$AV$55*CM16 + (1-$AV$51:$AV$55)*CI16), N($AK$51:$AK$55&gt;$AI16)),
SUMPRODUCT(INDEX($AL$36:$AN$45,,$AE16), INDEX($AO$36:$AU$45,,$AD16), 1 / ($AW$36:$AW$45*CM16 + (1-$AW$36:$AW$45)*CI16), N($AK$36:$AK$45&gt;$AI16))
) / 1000</f>
        <v>0</v>
      </c>
      <c r="CO16" s="49" cm="1">
        <f t="array" ref="CO16">$BC16 * IF($AD16&lt;=2,
SUMPRODUCT(INDEX($AL$12:$AN$50,,$AE16), INDEX($AO$12:$AU$50,,$AD16), 1 / ($AV$12:$AV$50*CM16), N($AK$12:$AK$50&gt;$AI16)),
SUMPRODUCT(INDEX($AL$12:$AN$35,,$AE16), INDEX($AO$12:$AU$35,,$AD16), 1 / ($AW$12:$AW$35*CM16), N($AK$12:$AK$35&gt;$AI16))
) / 1000</f>
        <v>0</v>
      </c>
      <c r="CP16" s="46">
        <f t="shared" si="37"/>
        <v>0</v>
      </c>
      <c r="CQ16" s="20"/>
    </row>
    <row r="17" spans="1:95" s="95" customFormat="1" ht="14.25" customHeight="1" x14ac:dyDescent="0.25">
      <c r="A17" s="36" t="b">
        <f t="shared" si="0"/>
        <v>0</v>
      </c>
      <c r="B17" s="94">
        <v>6</v>
      </c>
      <c r="C17" s="7"/>
      <c r="D17" s="7"/>
      <c r="E17" s="33"/>
      <c r="F17" s="8" t="str">
        <f>IF(ISBLANK(E17), "", VLOOKUP(E17, Z!$A$2:$C$4127, 3, FALSE))</f>
        <v/>
      </c>
      <c r="G17" s="44"/>
      <c r="H17" s="44"/>
      <c r="I17" s="107"/>
      <c r="J17" s="108"/>
      <c r="K17" s="34"/>
      <c r="L17" s="59"/>
      <c r="M17" s="58" t="str" cm="1">
        <f t="array" ref="M17">IF($K17&gt;0, INDEX(Clean,1+AG17,$B$1), "")</f>
        <v/>
      </c>
      <c r="N17" s="62"/>
      <c r="O17" s="62"/>
      <c r="P17" s="63"/>
      <c r="Q17" s="52">
        <f t="shared" si="7"/>
        <v>0</v>
      </c>
      <c r="R17" s="58" t="str" cm="1">
        <f t="array" ref="R17">IF($K17&gt;0, INDEX(Clean,1+AH17,$B$1), "")</f>
        <v/>
      </c>
      <c r="S17" s="62"/>
      <c r="T17" s="62"/>
      <c r="U17" s="63"/>
      <c r="V17" s="52">
        <f t="shared" si="8"/>
        <v>0</v>
      </c>
      <c r="W17" s="6"/>
      <c r="X17" s="7"/>
      <c r="Y17" s="33"/>
      <c r="Z17" s="8" t="str">
        <f>IF(ISBLANK(Y17), "", VLOOKUP(Y17, Z!$A$2:$C$4127, 3, FALSE))</f>
        <v/>
      </c>
      <c r="AA17" s="38"/>
      <c r="AB17" s="9">
        <f t="shared" si="1"/>
        <v>0</v>
      </c>
      <c r="AC17" s="20"/>
      <c r="AD17" s="41">
        <f t="shared" si="2"/>
        <v>1</v>
      </c>
      <c r="AE17" s="41">
        <f t="shared" si="3"/>
        <v>1</v>
      </c>
      <c r="AF17" s="41">
        <f t="shared" si="4"/>
        <v>0</v>
      </c>
      <c r="AG17" s="41">
        <v>1</v>
      </c>
      <c r="AH17" s="41">
        <v>0</v>
      </c>
      <c r="AI17" s="41">
        <f t="shared" si="5"/>
        <v>-100</v>
      </c>
      <c r="AJ17" s="20"/>
      <c r="AK17" s="41">
        <v>-14</v>
      </c>
      <c r="AL17" s="50">
        <v>0</v>
      </c>
      <c r="AM17" s="50">
        <v>0</v>
      </c>
      <c r="AN17" s="50">
        <v>0</v>
      </c>
      <c r="AO17" s="48">
        <f t="shared" si="6"/>
        <v>0</v>
      </c>
      <c r="AP17" s="48">
        <f t="shared" si="6"/>
        <v>0</v>
      </c>
      <c r="AQ17" s="48" cm="1">
        <f t="array" ref="AQ17">MIN(INDEX(Use,AQ$10,5) + MAX(0, (1-INDEX(Use,AQ$10,5))*($AK17-5)/(35-5)), 1)</f>
        <v>0.4</v>
      </c>
      <c r="AR17" s="48" cm="1">
        <f t="array" ref="AR17">MIN(INDEX(Use,AR$10,5) + MAX(0, (1-INDEX(Use,AR$10,5))*($AK17-5)/(35-5)), 1)</f>
        <v>0.6</v>
      </c>
      <c r="AS17" s="48" cm="1">
        <f t="array" ref="AS17">MIN(INDEX(Use,AS$10,5) + MAX(0, (1-INDEX(Use,AS$10,5))*($AK17-5)/(35-5)), 1)</f>
        <v>0.8</v>
      </c>
      <c r="AT17" s="48" cm="1">
        <f t="array" ref="AT17">MIN(INDEX(Use,AT$10,5) + MAX(0, (1-INDEX(Use,AT$10,5))*($AK17-5)/(35-5)), 1)</f>
        <v>0.8</v>
      </c>
      <c r="AU17" s="48" cm="1">
        <f t="array" ref="AU17">MIN(INDEX(Use,AU$10,5) + MAX(0, (1-INDEX(Use,AU$10,5))*($AK17-5)/(35-5)), 1)</f>
        <v>0.8</v>
      </c>
      <c r="AV17" s="48">
        <v>1</v>
      </c>
      <c r="AW17" s="48">
        <v>1</v>
      </c>
      <c r="AX17" s="15"/>
      <c r="AY17" s="41" cm="1">
        <f t="array" ref="AY17">INDEX(Use, $AD17, 4)</f>
        <v>7</v>
      </c>
      <c r="AZ17" s="41">
        <f t="shared" si="9"/>
        <v>32</v>
      </c>
      <c r="BA17" s="41">
        <f t="shared" si="10"/>
        <v>13</v>
      </c>
      <c r="BB17" s="41">
        <f t="shared" si="11"/>
        <v>0</v>
      </c>
      <c r="BC17" s="57" cm="1">
        <f t="array" ref="BC17">K17/IF($L17&gt;0, INDEX($AO$12:$AU$66, $L17+20, $AD17), 1)</f>
        <v>0</v>
      </c>
      <c r="BD17" s="46">
        <f t="shared" si="12"/>
        <v>0</v>
      </c>
      <c r="BE17" s="41">
        <v>35</v>
      </c>
      <c r="BF17" s="46">
        <f t="shared" si="13"/>
        <v>52.55</v>
      </c>
      <c r="BG17" s="49">
        <f t="shared" si="14"/>
        <v>2.7676728869374316</v>
      </c>
      <c r="BH17" s="49" cm="1">
        <f t="array" ref="BH17">$BC17 * SUMPRODUCT(INDEX($AL$66:$AN$71,,$AE17),INDEX($AO$66:$AU$71,,$AD17), N($AK$66:$AK$71&gt;$AI17)) / BG17 / 1000</f>
        <v>0</v>
      </c>
      <c r="BI17" s="50">
        <f t="shared" si="15"/>
        <v>30</v>
      </c>
      <c r="BJ17" s="46">
        <f t="shared" si="16"/>
        <v>46.033333333333331</v>
      </c>
      <c r="BK17" s="49">
        <f t="shared" si="17"/>
        <v>3.2297395388556791</v>
      </c>
      <c r="BL17" s="49" cm="1">
        <f t="array" ref="BL17">$BC17 * IF($AD17&lt;=2,
SUMPRODUCT(INDEX($AL$61:$AN$65,,$AE17), INDEX($AO$61:$AU$65,,$AD17), 1 / ($AV$61:$AV$65*BK17 + (1-$AV$61:$AV$65)*BG17), N($AK$61:$AK$65&gt;$AI17)),
SUMPRODUCT(INDEX($AL$56:$AN$65,,$AE17), INDEX($AO$56:$AU$65,,$AD17), 1 / ($AW$56:$AW$65*BK17 + (1-$AW$56:$AW$65)*BG17), N($AK$56:$AK$65&gt;$AI17))
) / 1000</f>
        <v>0</v>
      </c>
      <c r="BM17" s="50">
        <f t="shared" si="18"/>
        <v>25</v>
      </c>
      <c r="BN17" s="46">
        <f t="shared" si="19"/>
        <v>39.516666666666666</v>
      </c>
      <c r="BO17" s="49">
        <f t="shared" si="20"/>
        <v>3.877011788826243</v>
      </c>
      <c r="BP17" s="49" cm="1">
        <f t="array" ref="BP17">$BC17 * IF($AD17&lt;=2,
SUMPRODUCT(INDEX($AL$56:$AN$60,,$AE17), INDEX($AO$56:$AU$60,,$AD17), 1 / ($AV$56:$AV$60*BO17 + (1-$AV$56:$AV$60)*BK17), N($AK$56:$AK$60&gt;$AI17)),
SUMPRODUCT(INDEX($AL$46:$AN$55,,$AE17), INDEX($AO$46:$AU$55,,$AD17), 1 / ($AW$46:$AW$55*BO17 + (1-$AW$46:$AW$55)*BK17), N($AK$46:$AK$55&gt;$AI17))
) / 1000</f>
        <v>0</v>
      </c>
      <c r="BQ17" s="50">
        <f t="shared" si="21"/>
        <v>20</v>
      </c>
      <c r="BR17" s="46">
        <f t="shared" si="22"/>
        <v>33</v>
      </c>
      <c r="BS17" s="49">
        <f t="shared" si="23"/>
        <v>4.8487499999999999</v>
      </c>
      <c r="BT17" s="49" cm="1">
        <f t="array" ref="BT17">$BC17 * IF($AD17&lt;=2,
SUMPRODUCT(INDEX($AL$51:$AN$55,,$AE17), INDEX($AO$51:$AU$55,,$AD17), 1 / ($AV$51:$AV$55*BS17 + (1-$AV$51:$AV$55)*BO17), N($AK$51:$AK$55&gt;$AI17)),
SUMPRODUCT(INDEX($AL$36:$AN$45,,$AE17), INDEX($AO$36:$AU$45,,$AD17), 1 / ($AW$36:$AW$45*BS17 + (1-$AW$36:$AW$45)*BO17), N($AK$36:$AK$45&gt;$AI17))
) / 1000</f>
        <v>0</v>
      </c>
      <c r="BU17" s="49" cm="1">
        <f t="array" ref="BU17">$BC17 * IF($AD17&lt;=2,
SUMPRODUCT(INDEX($AL$12:$AN$50,,$AE17), INDEX($AO$12:$AU$50,,$AD17), 1 / ($AV$12:$AV$50*BS17), N($AK$12:$AK$50&gt;$AI17)),
SUMPRODUCT(INDEX($AL$12:$AN$35,,$AE17), INDEX($AO$12:$AU$35,,$AD17), 1 / ($AW$12:$AW$35*BS17), N($AK$12:$AK$35&gt;$AI17))
) / 1000</f>
        <v>0</v>
      </c>
      <c r="BV17" s="46">
        <f t="shared" si="24"/>
        <v>0</v>
      </c>
      <c r="BW17" s="20"/>
      <c r="BX17" s="46">
        <f t="shared" si="25"/>
        <v>0</v>
      </c>
      <c r="BY17" s="41">
        <v>35</v>
      </c>
      <c r="BZ17" s="46">
        <f t="shared" si="26"/>
        <v>48</v>
      </c>
      <c r="CA17" s="49">
        <f t="shared" si="27"/>
        <v>3.0748170731707316</v>
      </c>
      <c r="CB17" s="49" cm="1">
        <f t="array" ref="CB17">$BC17 * SUMPRODUCT(INDEX($AL$66:$AN$71,,$AE17),INDEX($AO$66:$AU$71,,$AD17), N($AK$66:$AK$71&gt;$AI17)) / CA17 / 1000</f>
        <v>0</v>
      </c>
      <c r="CC17" s="50">
        <f t="shared" si="28"/>
        <v>30</v>
      </c>
      <c r="CD17" s="46">
        <f t="shared" si="29"/>
        <v>43</v>
      </c>
      <c r="CE17" s="49">
        <f t="shared" si="30"/>
        <v>3.5018750000000001</v>
      </c>
      <c r="CF17" s="49" cm="1">
        <f t="array" ref="CF17">$BC17 * IF($AD17&lt;=2,
SUMPRODUCT(INDEX($AL$61:$AN$65,,$AE17), INDEX($AO$61:$AU$65,,$AD17), 1 / ($AV$61:$AV$65*CE17 + (1-$AV$61:$AV$65)*CA17), N($AK$61:$AK$65&gt;$AI17)),
SUMPRODUCT(INDEX($AL$56:$AN$65,,$AE17), INDEX($AO$56:$AU$65,,$AD17), 1 / ($AW$56:$AW$65*CE17 + (1-$AW$56:$AW$65)*CA17), N($AK$56:$AK$65&gt;$AI17))
) / 1000</f>
        <v>0</v>
      </c>
      <c r="CG17" s="50">
        <f t="shared" si="31"/>
        <v>25</v>
      </c>
      <c r="CH17" s="46">
        <f t="shared" si="32"/>
        <v>38</v>
      </c>
      <c r="CI17" s="49">
        <f t="shared" si="33"/>
        <v>4.0666935483870965</v>
      </c>
      <c r="CJ17" s="49" cm="1">
        <f t="array" ref="CJ17">$BC17 * IF($AD17&lt;=2,
SUMPRODUCT(INDEX($AL$56:$AN$60,,$AE17), INDEX($AO$56:$AU$60,,$AD17), 1 / ($AV$56:$AV$60*CI17 + (1-$AV$56:$AV$60)*CE17), N($AK$56:$AK$60&gt;$AI17)),
SUMPRODUCT(INDEX($AL$46:$AN$55,,$AE17), INDEX($AO$46:$AU$55,,$AD17), 1 / ($AW$46:$AW$55*CI17 + (1-$AW$46:$AW$55)*CE17), N($AK$46:$AK$55&gt;$AI17))
) / 1000</f>
        <v>0</v>
      </c>
      <c r="CK17" s="50">
        <f t="shared" si="34"/>
        <v>20</v>
      </c>
      <c r="CL17" s="46">
        <f t="shared" si="35"/>
        <v>33</v>
      </c>
      <c r="CM17" s="49">
        <f t="shared" si="36"/>
        <v>4.8487499999999999</v>
      </c>
      <c r="CN17" s="49" cm="1">
        <f t="array" ref="CN17">$BC17 * IF($AD17&lt;=2,
SUMPRODUCT(INDEX($AL$51:$AN$55,,$AE17), INDEX($AO$51:$AU$55,,$AD17), 1 / ($AV$51:$AV$55*CM17 + (1-$AV$51:$AV$55)*CI17), N($AK$51:$AK$55&gt;$AI17)),
SUMPRODUCT(INDEX($AL$36:$AN$45,,$AE17), INDEX($AO$36:$AU$45,,$AD17), 1 / ($AW$36:$AW$45*CM17 + (1-$AW$36:$AW$45)*CI17), N($AK$36:$AK$45&gt;$AI17))
) / 1000</f>
        <v>0</v>
      </c>
      <c r="CO17" s="49" cm="1">
        <f t="array" ref="CO17">$BC17 * IF($AD17&lt;=2,
SUMPRODUCT(INDEX($AL$12:$AN$50,,$AE17), INDEX($AO$12:$AU$50,,$AD17), 1 / ($AV$12:$AV$50*CM17), N($AK$12:$AK$50&gt;$AI17)),
SUMPRODUCT(INDEX($AL$12:$AN$35,,$AE17), INDEX($AO$12:$AU$35,,$AD17), 1 / ($AW$12:$AW$35*CM17), N($AK$12:$AK$35&gt;$AI17))
) / 1000</f>
        <v>0</v>
      </c>
      <c r="CP17" s="46">
        <f t="shared" si="37"/>
        <v>0</v>
      </c>
      <c r="CQ17" s="20"/>
    </row>
    <row r="18" spans="1:95" s="95" customFormat="1" ht="14.25" customHeight="1" x14ac:dyDescent="0.25">
      <c r="A18" s="36" t="b">
        <f t="shared" si="0"/>
        <v>0</v>
      </c>
      <c r="B18" s="94">
        <v>7</v>
      </c>
      <c r="C18" s="7"/>
      <c r="D18" s="7"/>
      <c r="E18" s="33"/>
      <c r="F18" s="8" t="str">
        <f>IF(ISBLANK(E18), "", VLOOKUP(E18, Z!$A$2:$C$4127, 3, FALSE))</f>
        <v/>
      </c>
      <c r="G18" s="44"/>
      <c r="H18" s="44"/>
      <c r="I18" s="107"/>
      <c r="J18" s="108"/>
      <c r="K18" s="34"/>
      <c r="L18" s="59"/>
      <c r="M18" s="58" t="str" cm="1">
        <f t="array" ref="M18">IF($K18&gt;0, INDEX(Clean,1+AG18,$B$1), "")</f>
        <v/>
      </c>
      <c r="N18" s="62"/>
      <c r="O18" s="62"/>
      <c r="P18" s="63"/>
      <c r="Q18" s="52">
        <f t="shared" si="7"/>
        <v>0</v>
      </c>
      <c r="R18" s="58" t="str" cm="1">
        <f t="array" ref="R18">IF($K18&gt;0, INDEX(Clean,1+AH18,$B$1), "")</f>
        <v/>
      </c>
      <c r="S18" s="62"/>
      <c r="T18" s="62"/>
      <c r="U18" s="63"/>
      <c r="V18" s="52">
        <f t="shared" si="8"/>
        <v>0</v>
      </c>
      <c r="W18" s="6"/>
      <c r="X18" s="7"/>
      <c r="Y18" s="33"/>
      <c r="Z18" s="8" t="str">
        <f>IF(ISBLANK(Y18), "", VLOOKUP(Y18, Z!$A$2:$C$4127, 3, FALSE))</f>
        <v/>
      </c>
      <c r="AA18" s="38"/>
      <c r="AB18" s="9">
        <f t="shared" si="1"/>
        <v>0</v>
      </c>
      <c r="AC18" s="20"/>
      <c r="AD18" s="41">
        <f t="shared" si="2"/>
        <v>1</v>
      </c>
      <c r="AE18" s="41">
        <f t="shared" si="3"/>
        <v>1</v>
      </c>
      <c r="AF18" s="41">
        <f t="shared" si="4"/>
        <v>0</v>
      </c>
      <c r="AG18" s="41">
        <v>1</v>
      </c>
      <c r="AH18" s="41">
        <v>0</v>
      </c>
      <c r="AI18" s="41">
        <f t="shared" si="5"/>
        <v>-100</v>
      </c>
      <c r="AJ18" s="20"/>
      <c r="AK18" s="41">
        <v>-13</v>
      </c>
      <c r="AL18" s="50">
        <v>0</v>
      </c>
      <c r="AM18" s="50">
        <v>0</v>
      </c>
      <c r="AN18" s="50">
        <v>0</v>
      </c>
      <c r="AO18" s="48">
        <f t="shared" si="6"/>
        <v>0</v>
      </c>
      <c r="AP18" s="48">
        <f t="shared" si="6"/>
        <v>0</v>
      </c>
      <c r="AQ18" s="48" cm="1">
        <f t="array" ref="AQ18">MIN(INDEX(Use,AQ$10,5) + MAX(0, (1-INDEX(Use,AQ$10,5))*($AK18-5)/(35-5)), 1)</f>
        <v>0.4</v>
      </c>
      <c r="AR18" s="48" cm="1">
        <f t="array" ref="AR18">MIN(INDEX(Use,AR$10,5) + MAX(0, (1-INDEX(Use,AR$10,5))*($AK18-5)/(35-5)), 1)</f>
        <v>0.6</v>
      </c>
      <c r="AS18" s="48" cm="1">
        <f t="array" ref="AS18">MIN(INDEX(Use,AS$10,5) + MAX(0, (1-INDEX(Use,AS$10,5))*($AK18-5)/(35-5)), 1)</f>
        <v>0.8</v>
      </c>
      <c r="AT18" s="48" cm="1">
        <f t="array" ref="AT18">MIN(INDEX(Use,AT$10,5) + MAX(0, (1-INDEX(Use,AT$10,5))*($AK18-5)/(35-5)), 1)</f>
        <v>0.8</v>
      </c>
      <c r="AU18" s="48" cm="1">
        <f t="array" ref="AU18">MIN(INDEX(Use,AU$10,5) + MAX(0, (1-INDEX(Use,AU$10,5))*($AK18-5)/(35-5)), 1)</f>
        <v>0.8</v>
      </c>
      <c r="AV18" s="48">
        <v>1</v>
      </c>
      <c r="AW18" s="48">
        <v>1</v>
      </c>
      <c r="AX18" s="15"/>
      <c r="AY18" s="41" cm="1">
        <f t="array" ref="AY18">INDEX(Use, $AD18, 4)</f>
        <v>7</v>
      </c>
      <c r="AZ18" s="41">
        <f t="shared" si="9"/>
        <v>32</v>
      </c>
      <c r="BA18" s="41">
        <f t="shared" si="10"/>
        <v>13</v>
      </c>
      <c r="BB18" s="41">
        <f t="shared" si="11"/>
        <v>0</v>
      </c>
      <c r="BC18" s="57" cm="1">
        <f t="array" ref="BC18">K18/IF($L18&gt;0, INDEX($AO$12:$AU$66, $L18+20, $AD18), 1)</f>
        <v>0</v>
      </c>
      <c r="BD18" s="46">
        <f t="shared" si="12"/>
        <v>0</v>
      </c>
      <c r="BE18" s="41">
        <v>35</v>
      </c>
      <c r="BF18" s="46">
        <f t="shared" si="13"/>
        <v>52.55</v>
      </c>
      <c r="BG18" s="49">
        <f t="shared" si="14"/>
        <v>2.7676728869374316</v>
      </c>
      <c r="BH18" s="49" cm="1">
        <f t="array" ref="BH18">$BC18 * SUMPRODUCT(INDEX($AL$66:$AN$71,,$AE18),INDEX($AO$66:$AU$71,,$AD18), N($AK$66:$AK$71&gt;$AI18)) / BG18 / 1000</f>
        <v>0</v>
      </c>
      <c r="BI18" s="50">
        <f t="shared" si="15"/>
        <v>30</v>
      </c>
      <c r="BJ18" s="46">
        <f t="shared" si="16"/>
        <v>46.033333333333331</v>
      </c>
      <c r="BK18" s="49">
        <f t="shared" si="17"/>
        <v>3.2297395388556791</v>
      </c>
      <c r="BL18" s="49" cm="1">
        <f t="array" ref="BL18">$BC18 * IF($AD18&lt;=2,
SUMPRODUCT(INDEX($AL$61:$AN$65,,$AE18), INDEX($AO$61:$AU$65,,$AD18), 1 / ($AV$61:$AV$65*BK18 + (1-$AV$61:$AV$65)*BG18), N($AK$61:$AK$65&gt;$AI18)),
SUMPRODUCT(INDEX($AL$56:$AN$65,,$AE18), INDEX($AO$56:$AU$65,,$AD18), 1 / ($AW$56:$AW$65*BK18 + (1-$AW$56:$AW$65)*BG18), N($AK$56:$AK$65&gt;$AI18))
) / 1000</f>
        <v>0</v>
      </c>
      <c r="BM18" s="50">
        <f t="shared" si="18"/>
        <v>25</v>
      </c>
      <c r="BN18" s="46">
        <f t="shared" si="19"/>
        <v>39.516666666666666</v>
      </c>
      <c r="BO18" s="49">
        <f t="shared" si="20"/>
        <v>3.877011788826243</v>
      </c>
      <c r="BP18" s="49" cm="1">
        <f t="array" ref="BP18">$BC18 * IF($AD18&lt;=2,
SUMPRODUCT(INDEX($AL$56:$AN$60,,$AE18), INDEX($AO$56:$AU$60,,$AD18), 1 / ($AV$56:$AV$60*BO18 + (1-$AV$56:$AV$60)*BK18), N($AK$56:$AK$60&gt;$AI18)),
SUMPRODUCT(INDEX($AL$46:$AN$55,,$AE18), INDEX($AO$46:$AU$55,,$AD18), 1 / ($AW$46:$AW$55*BO18 + (1-$AW$46:$AW$55)*BK18), N($AK$46:$AK$55&gt;$AI18))
) / 1000</f>
        <v>0</v>
      </c>
      <c r="BQ18" s="50">
        <f t="shared" si="21"/>
        <v>20</v>
      </c>
      <c r="BR18" s="46">
        <f t="shared" si="22"/>
        <v>33</v>
      </c>
      <c r="BS18" s="49">
        <f t="shared" si="23"/>
        <v>4.8487499999999999</v>
      </c>
      <c r="BT18" s="49" cm="1">
        <f t="array" ref="BT18">$BC18 * IF($AD18&lt;=2,
SUMPRODUCT(INDEX($AL$51:$AN$55,,$AE18), INDEX($AO$51:$AU$55,,$AD18), 1 / ($AV$51:$AV$55*BS18 + (1-$AV$51:$AV$55)*BO18), N($AK$51:$AK$55&gt;$AI18)),
SUMPRODUCT(INDEX($AL$36:$AN$45,,$AE18), INDEX($AO$36:$AU$45,,$AD18), 1 / ($AW$36:$AW$45*BS18 + (1-$AW$36:$AW$45)*BO18), N($AK$36:$AK$45&gt;$AI18))
) / 1000</f>
        <v>0</v>
      </c>
      <c r="BU18" s="49" cm="1">
        <f t="array" ref="BU18">$BC18 * IF($AD18&lt;=2,
SUMPRODUCT(INDEX($AL$12:$AN$50,,$AE18), INDEX($AO$12:$AU$50,,$AD18), 1 / ($AV$12:$AV$50*BS18), N($AK$12:$AK$50&gt;$AI18)),
SUMPRODUCT(INDEX($AL$12:$AN$35,,$AE18), INDEX($AO$12:$AU$35,,$AD18), 1 / ($AW$12:$AW$35*BS18), N($AK$12:$AK$35&gt;$AI18))
) / 1000</f>
        <v>0</v>
      </c>
      <c r="BV18" s="46">
        <f t="shared" si="24"/>
        <v>0</v>
      </c>
      <c r="BW18" s="20"/>
      <c r="BX18" s="46">
        <f t="shared" si="25"/>
        <v>0</v>
      </c>
      <c r="BY18" s="41">
        <v>35</v>
      </c>
      <c r="BZ18" s="46">
        <f t="shared" si="26"/>
        <v>48</v>
      </c>
      <c r="CA18" s="49">
        <f t="shared" si="27"/>
        <v>3.0748170731707316</v>
      </c>
      <c r="CB18" s="49" cm="1">
        <f t="array" ref="CB18">$BC18 * SUMPRODUCT(INDEX($AL$66:$AN$71,,$AE18),INDEX($AO$66:$AU$71,,$AD18), N($AK$66:$AK$71&gt;$AI18)) / CA18 / 1000</f>
        <v>0</v>
      </c>
      <c r="CC18" s="50">
        <f t="shared" si="28"/>
        <v>30</v>
      </c>
      <c r="CD18" s="46">
        <f t="shared" si="29"/>
        <v>43</v>
      </c>
      <c r="CE18" s="49">
        <f t="shared" si="30"/>
        <v>3.5018750000000001</v>
      </c>
      <c r="CF18" s="49" cm="1">
        <f t="array" ref="CF18">$BC18 * IF($AD18&lt;=2,
SUMPRODUCT(INDEX($AL$61:$AN$65,,$AE18), INDEX($AO$61:$AU$65,,$AD18), 1 / ($AV$61:$AV$65*CE18 + (1-$AV$61:$AV$65)*CA18), N($AK$61:$AK$65&gt;$AI18)),
SUMPRODUCT(INDEX($AL$56:$AN$65,,$AE18), INDEX($AO$56:$AU$65,,$AD18), 1 / ($AW$56:$AW$65*CE18 + (1-$AW$56:$AW$65)*CA18), N($AK$56:$AK$65&gt;$AI18))
) / 1000</f>
        <v>0</v>
      </c>
      <c r="CG18" s="50">
        <f t="shared" si="31"/>
        <v>25</v>
      </c>
      <c r="CH18" s="46">
        <f t="shared" si="32"/>
        <v>38</v>
      </c>
      <c r="CI18" s="49">
        <f t="shared" si="33"/>
        <v>4.0666935483870965</v>
      </c>
      <c r="CJ18" s="49" cm="1">
        <f t="array" ref="CJ18">$BC18 * IF($AD18&lt;=2,
SUMPRODUCT(INDEX($AL$56:$AN$60,,$AE18), INDEX($AO$56:$AU$60,,$AD18), 1 / ($AV$56:$AV$60*CI18 + (1-$AV$56:$AV$60)*CE18), N($AK$56:$AK$60&gt;$AI18)),
SUMPRODUCT(INDEX($AL$46:$AN$55,,$AE18), INDEX($AO$46:$AU$55,,$AD18), 1 / ($AW$46:$AW$55*CI18 + (1-$AW$46:$AW$55)*CE18), N($AK$46:$AK$55&gt;$AI18))
) / 1000</f>
        <v>0</v>
      </c>
      <c r="CK18" s="50">
        <f t="shared" si="34"/>
        <v>20</v>
      </c>
      <c r="CL18" s="46">
        <f t="shared" si="35"/>
        <v>33</v>
      </c>
      <c r="CM18" s="49">
        <f t="shared" si="36"/>
        <v>4.8487499999999999</v>
      </c>
      <c r="CN18" s="49" cm="1">
        <f t="array" ref="CN18">$BC18 * IF($AD18&lt;=2,
SUMPRODUCT(INDEX($AL$51:$AN$55,,$AE18), INDEX($AO$51:$AU$55,,$AD18), 1 / ($AV$51:$AV$55*CM18 + (1-$AV$51:$AV$55)*CI18), N($AK$51:$AK$55&gt;$AI18)),
SUMPRODUCT(INDEX($AL$36:$AN$45,,$AE18), INDEX($AO$36:$AU$45,,$AD18), 1 / ($AW$36:$AW$45*CM18 + (1-$AW$36:$AW$45)*CI18), N($AK$36:$AK$45&gt;$AI18))
) / 1000</f>
        <v>0</v>
      </c>
      <c r="CO18" s="49" cm="1">
        <f t="array" ref="CO18">$BC18 * IF($AD18&lt;=2,
SUMPRODUCT(INDEX($AL$12:$AN$50,,$AE18), INDEX($AO$12:$AU$50,,$AD18), 1 / ($AV$12:$AV$50*CM18), N($AK$12:$AK$50&gt;$AI18)),
SUMPRODUCT(INDEX($AL$12:$AN$35,,$AE18), INDEX($AO$12:$AU$35,,$AD18), 1 / ($AW$12:$AW$35*CM18), N($AK$12:$AK$35&gt;$AI18))
) / 1000</f>
        <v>0</v>
      </c>
      <c r="CP18" s="46">
        <f t="shared" si="37"/>
        <v>0</v>
      </c>
      <c r="CQ18" s="20"/>
    </row>
    <row r="19" spans="1:95" s="95" customFormat="1" ht="14.25" customHeight="1" x14ac:dyDescent="0.25">
      <c r="A19" s="36" t="b">
        <f t="shared" si="0"/>
        <v>0</v>
      </c>
      <c r="B19" s="94">
        <v>8</v>
      </c>
      <c r="C19" s="7"/>
      <c r="D19" s="7"/>
      <c r="E19" s="33"/>
      <c r="F19" s="8" t="str">
        <f>IF(ISBLANK(E19), "", VLOOKUP(E19, Z!$A$2:$C$4127, 3, FALSE))</f>
        <v/>
      </c>
      <c r="G19" s="44"/>
      <c r="H19" s="44"/>
      <c r="I19" s="107"/>
      <c r="J19" s="108"/>
      <c r="K19" s="34"/>
      <c r="L19" s="59"/>
      <c r="M19" s="58" t="str" cm="1">
        <f t="array" ref="M19">IF($K19&gt;0, INDEX(Clean,1+AG19,$B$1), "")</f>
        <v/>
      </c>
      <c r="N19" s="62"/>
      <c r="O19" s="62"/>
      <c r="P19" s="63"/>
      <c r="Q19" s="52">
        <f t="shared" si="7"/>
        <v>0</v>
      </c>
      <c r="R19" s="58" t="str" cm="1">
        <f t="array" ref="R19">IF($K19&gt;0, INDEX(Clean,1+AH19,$B$1), "")</f>
        <v/>
      </c>
      <c r="S19" s="62"/>
      <c r="T19" s="62"/>
      <c r="U19" s="63"/>
      <c r="V19" s="52">
        <f t="shared" si="8"/>
        <v>0</v>
      </c>
      <c r="W19" s="6"/>
      <c r="X19" s="7"/>
      <c r="Y19" s="33"/>
      <c r="Z19" s="8" t="str">
        <f>IF(ISBLANK(Y19), "", VLOOKUP(Y19, Z!$A$2:$C$4127, 3, FALSE))</f>
        <v/>
      </c>
      <c r="AA19" s="38"/>
      <c r="AB19" s="9">
        <f t="shared" si="1"/>
        <v>0</v>
      </c>
      <c r="AC19" s="20"/>
      <c r="AD19" s="41">
        <f t="shared" si="2"/>
        <v>1</v>
      </c>
      <c r="AE19" s="41">
        <f t="shared" si="3"/>
        <v>1</v>
      </c>
      <c r="AF19" s="41">
        <f t="shared" si="4"/>
        <v>0</v>
      </c>
      <c r="AG19" s="41">
        <v>1</v>
      </c>
      <c r="AH19" s="41">
        <v>0</v>
      </c>
      <c r="AI19" s="41">
        <f t="shared" si="5"/>
        <v>-100</v>
      </c>
      <c r="AJ19" s="20"/>
      <c r="AK19" s="41">
        <v>-12</v>
      </c>
      <c r="AL19" s="50">
        <v>0</v>
      </c>
      <c r="AM19" s="50">
        <v>0</v>
      </c>
      <c r="AN19" s="50">
        <v>0</v>
      </c>
      <c r="AO19" s="48">
        <f t="shared" si="6"/>
        <v>0</v>
      </c>
      <c r="AP19" s="48">
        <f t="shared" si="6"/>
        <v>0</v>
      </c>
      <c r="AQ19" s="48" cm="1">
        <f t="array" ref="AQ19">MIN(INDEX(Use,AQ$10,5) + MAX(0, (1-INDEX(Use,AQ$10,5))*($AK19-5)/(35-5)), 1)</f>
        <v>0.4</v>
      </c>
      <c r="AR19" s="48" cm="1">
        <f t="array" ref="AR19">MIN(INDEX(Use,AR$10,5) + MAX(0, (1-INDEX(Use,AR$10,5))*($AK19-5)/(35-5)), 1)</f>
        <v>0.6</v>
      </c>
      <c r="AS19" s="48" cm="1">
        <f t="array" ref="AS19">MIN(INDEX(Use,AS$10,5) + MAX(0, (1-INDEX(Use,AS$10,5))*($AK19-5)/(35-5)), 1)</f>
        <v>0.8</v>
      </c>
      <c r="AT19" s="48" cm="1">
        <f t="array" ref="AT19">MIN(INDEX(Use,AT$10,5) + MAX(0, (1-INDEX(Use,AT$10,5))*($AK19-5)/(35-5)), 1)</f>
        <v>0.8</v>
      </c>
      <c r="AU19" s="48" cm="1">
        <f t="array" ref="AU19">MIN(INDEX(Use,AU$10,5) + MAX(0, (1-INDEX(Use,AU$10,5))*($AK19-5)/(35-5)), 1)</f>
        <v>0.8</v>
      </c>
      <c r="AV19" s="48">
        <v>1</v>
      </c>
      <c r="AW19" s="48">
        <v>1</v>
      </c>
      <c r="AX19" s="15"/>
      <c r="AY19" s="41" cm="1">
        <f t="array" ref="AY19">INDEX(Use, $AD19, 4)</f>
        <v>7</v>
      </c>
      <c r="AZ19" s="41">
        <f t="shared" si="9"/>
        <v>32</v>
      </c>
      <c r="BA19" s="41">
        <f t="shared" si="10"/>
        <v>13</v>
      </c>
      <c r="BB19" s="41">
        <f t="shared" si="11"/>
        <v>0</v>
      </c>
      <c r="BC19" s="57" cm="1">
        <f t="array" ref="BC19">K19/IF($L19&gt;0, INDEX($AO$12:$AU$66, $L19+20, $AD19), 1)</f>
        <v>0</v>
      </c>
      <c r="BD19" s="46">
        <f t="shared" si="12"/>
        <v>0</v>
      </c>
      <c r="BE19" s="41">
        <v>35</v>
      </c>
      <c r="BF19" s="46">
        <f t="shared" si="13"/>
        <v>52.55</v>
      </c>
      <c r="BG19" s="49">
        <f t="shared" si="14"/>
        <v>2.7676728869374316</v>
      </c>
      <c r="BH19" s="49" cm="1">
        <f t="array" ref="BH19">$BC19 * SUMPRODUCT(INDEX($AL$66:$AN$71,,$AE19),INDEX($AO$66:$AU$71,,$AD19), N($AK$66:$AK$71&gt;$AI19)) / BG19 / 1000</f>
        <v>0</v>
      </c>
      <c r="BI19" s="50">
        <f t="shared" si="15"/>
        <v>30</v>
      </c>
      <c r="BJ19" s="46">
        <f t="shared" si="16"/>
        <v>46.033333333333331</v>
      </c>
      <c r="BK19" s="49">
        <f t="shared" si="17"/>
        <v>3.2297395388556791</v>
      </c>
      <c r="BL19" s="49" cm="1">
        <f t="array" ref="BL19">$BC19 * IF($AD19&lt;=2,
SUMPRODUCT(INDEX($AL$61:$AN$65,,$AE19), INDEX($AO$61:$AU$65,,$AD19), 1 / ($AV$61:$AV$65*BK19 + (1-$AV$61:$AV$65)*BG19), N($AK$61:$AK$65&gt;$AI19)),
SUMPRODUCT(INDEX($AL$56:$AN$65,,$AE19), INDEX($AO$56:$AU$65,,$AD19), 1 / ($AW$56:$AW$65*BK19 + (1-$AW$56:$AW$65)*BG19), N($AK$56:$AK$65&gt;$AI19))
) / 1000</f>
        <v>0</v>
      </c>
      <c r="BM19" s="50">
        <f t="shared" si="18"/>
        <v>25</v>
      </c>
      <c r="BN19" s="46">
        <f t="shared" si="19"/>
        <v>39.516666666666666</v>
      </c>
      <c r="BO19" s="49">
        <f t="shared" si="20"/>
        <v>3.877011788826243</v>
      </c>
      <c r="BP19" s="49" cm="1">
        <f t="array" ref="BP19">$BC19 * IF($AD19&lt;=2,
SUMPRODUCT(INDEX($AL$56:$AN$60,,$AE19), INDEX($AO$56:$AU$60,,$AD19), 1 / ($AV$56:$AV$60*BO19 + (1-$AV$56:$AV$60)*BK19), N($AK$56:$AK$60&gt;$AI19)),
SUMPRODUCT(INDEX($AL$46:$AN$55,,$AE19), INDEX($AO$46:$AU$55,,$AD19), 1 / ($AW$46:$AW$55*BO19 + (1-$AW$46:$AW$55)*BK19), N($AK$46:$AK$55&gt;$AI19))
) / 1000</f>
        <v>0</v>
      </c>
      <c r="BQ19" s="50">
        <f t="shared" si="21"/>
        <v>20</v>
      </c>
      <c r="BR19" s="46">
        <f t="shared" si="22"/>
        <v>33</v>
      </c>
      <c r="BS19" s="49">
        <f t="shared" si="23"/>
        <v>4.8487499999999999</v>
      </c>
      <c r="BT19" s="49" cm="1">
        <f t="array" ref="BT19">$BC19 * IF($AD19&lt;=2,
SUMPRODUCT(INDEX($AL$51:$AN$55,,$AE19), INDEX($AO$51:$AU$55,,$AD19), 1 / ($AV$51:$AV$55*BS19 + (1-$AV$51:$AV$55)*BO19), N($AK$51:$AK$55&gt;$AI19)),
SUMPRODUCT(INDEX($AL$36:$AN$45,,$AE19), INDEX($AO$36:$AU$45,,$AD19), 1 / ($AW$36:$AW$45*BS19 + (1-$AW$36:$AW$45)*BO19), N($AK$36:$AK$45&gt;$AI19))
) / 1000</f>
        <v>0</v>
      </c>
      <c r="BU19" s="49" cm="1">
        <f t="array" ref="BU19">$BC19 * IF($AD19&lt;=2,
SUMPRODUCT(INDEX($AL$12:$AN$50,,$AE19), INDEX($AO$12:$AU$50,,$AD19), 1 / ($AV$12:$AV$50*BS19), N($AK$12:$AK$50&gt;$AI19)),
SUMPRODUCT(INDEX($AL$12:$AN$35,,$AE19), INDEX($AO$12:$AU$35,,$AD19), 1 / ($AW$12:$AW$35*BS19), N($AK$12:$AK$35&gt;$AI19))
) / 1000</f>
        <v>0</v>
      </c>
      <c r="BV19" s="46">
        <f t="shared" si="24"/>
        <v>0</v>
      </c>
      <c r="BW19" s="20"/>
      <c r="BX19" s="46">
        <f t="shared" si="25"/>
        <v>0</v>
      </c>
      <c r="BY19" s="41">
        <v>35</v>
      </c>
      <c r="BZ19" s="46">
        <f t="shared" si="26"/>
        <v>48</v>
      </c>
      <c r="CA19" s="49">
        <f t="shared" si="27"/>
        <v>3.0748170731707316</v>
      </c>
      <c r="CB19" s="49" cm="1">
        <f t="array" ref="CB19">$BC19 * SUMPRODUCT(INDEX($AL$66:$AN$71,,$AE19),INDEX($AO$66:$AU$71,,$AD19), N($AK$66:$AK$71&gt;$AI19)) / CA19 / 1000</f>
        <v>0</v>
      </c>
      <c r="CC19" s="50">
        <f t="shared" si="28"/>
        <v>30</v>
      </c>
      <c r="CD19" s="46">
        <f t="shared" si="29"/>
        <v>43</v>
      </c>
      <c r="CE19" s="49">
        <f t="shared" si="30"/>
        <v>3.5018750000000001</v>
      </c>
      <c r="CF19" s="49" cm="1">
        <f t="array" ref="CF19">$BC19 * IF($AD19&lt;=2,
SUMPRODUCT(INDEX($AL$61:$AN$65,,$AE19), INDEX($AO$61:$AU$65,,$AD19), 1 / ($AV$61:$AV$65*CE19 + (1-$AV$61:$AV$65)*CA19), N($AK$61:$AK$65&gt;$AI19)),
SUMPRODUCT(INDEX($AL$56:$AN$65,,$AE19), INDEX($AO$56:$AU$65,,$AD19), 1 / ($AW$56:$AW$65*CE19 + (1-$AW$56:$AW$65)*CA19), N($AK$56:$AK$65&gt;$AI19))
) / 1000</f>
        <v>0</v>
      </c>
      <c r="CG19" s="50">
        <f t="shared" si="31"/>
        <v>25</v>
      </c>
      <c r="CH19" s="46">
        <f t="shared" si="32"/>
        <v>38</v>
      </c>
      <c r="CI19" s="49">
        <f t="shared" si="33"/>
        <v>4.0666935483870965</v>
      </c>
      <c r="CJ19" s="49" cm="1">
        <f t="array" ref="CJ19">$BC19 * IF($AD19&lt;=2,
SUMPRODUCT(INDEX($AL$56:$AN$60,,$AE19), INDEX($AO$56:$AU$60,,$AD19), 1 / ($AV$56:$AV$60*CI19 + (1-$AV$56:$AV$60)*CE19), N($AK$56:$AK$60&gt;$AI19)),
SUMPRODUCT(INDEX($AL$46:$AN$55,,$AE19), INDEX($AO$46:$AU$55,,$AD19), 1 / ($AW$46:$AW$55*CI19 + (1-$AW$46:$AW$55)*CE19), N($AK$46:$AK$55&gt;$AI19))
) / 1000</f>
        <v>0</v>
      </c>
      <c r="CK19" s="50">
        <f t="shared" si="34"/>
        <v>20</v>
      </c>
      <c r="CL19" s="46">
        <f t="shared" si="35"/>
        <v>33</v>
      </c>
      <c r="CM19" s="49">
        <f t="shared" si="36"/>
        <v>4.8487499999999999</v>
      </c>
      <c r="CN19" s="49" cm="1">
        <f t="array" ref="CN19">$BC19 * IF($AD19&lt;=2,
SUMPRODUCT(INDEX($AL$51:$AN$55,,$AE19), INDEX($AO$51:$AU$55,,$AD19), 1 / ($AV$51:$AV$55*CM19 + (1-$AV$51:$AV$55)*CI19), N($AK$51:$AK$55&gt;$AI19)),
SUMPRODUCT(INDEX($AL$36:$AN$45,,$AE19), INDEX($AO$36:$AU$45,,$AD19), 1 / ($AW$36:$AW$45*CM19 + (1-$AW$36:$AW$45)*CI19), N($AK$36:$AK$45&gt;$AI19))
) / 1000</f>
        <v>0</v>
      </c>
      <c r="CO19" s="49" cm="1">
        <f t="array" ref="CO19">$BC19 * IF($AD19&lt;=2,
SUMPRODUCT(INDEX($AL$12:$AN$50,,$AE19), INDEX($AO$12:$AU$50,,$AD19), 1 / ($AV$12:$AV$50*CM19), N($AK$12:$AK$50&gt;$AI19)),
SUMPRODUCT(INDEX($AL$12:$AN$35,,$AE19), INDEX($AO$12:$AU$35,,$AD19), 1 / ($AW$12:$AW$35*CM19), N($AK$12:$AK$35&gt;$AI19))
) / 1000</f>
        <v>0</v>
      </c>
      <c r="CP19" s="46">
        <f t="shared" si="37"/>
        <v>0</v>
      </c>
      <c r="CQ19" s="20"/>
    </row>
    <row r="20" spans="1:95" s="95" customFormat="1" ht="14.25" customHeight="1" x14ac:dyDescent="0.25">
      <c r="A20" s="36" t="b">
        <f t="shared" si="0"/>
        <v>0</v>
      </c>
      <c r="B20" s="94">
        <v>9</v>
      </c>
      <c r="C20" s="7"/>
      <c r="D20" s="7"/>
      <c r="E20" s="33"/>
      <c r="F20" s="8" t="str">
        <f>IF(ISBLANK(E20), "", VLOOKUP(E20, Z!$A$2:$C$4127, 3, FALSE))</f>
        <v/>
      </c>
      <c r="G20" s="44"/>
      <c r="H20" s="44"/>
      <c r="I20" s="107"/>
      <c r="J20" s="108"/>
      <c r="K20" s="34"/>
      <c r="L20" s="59"/>
      <c r="M20" s="58" t="str" cm="1">
        <f t="array" ref="M20">IF($K20&gt;0, INDEX(Clean,1+AG20,$B$1), "")</f>
        <v/>
      </c>
      <c r="N20" s="62"/>
      <c r="O20" s="62"/>
      <c r="P20" s="63"/>
      <c r="Q20" s="52">
        <f t="shared" si="7"/>
        <v>0</v>
      </c>
      <c r="R20" s="58" t="str" cm="1">
        <f t="array" ref="R20">IF($K20&gt;0, INDEX(Clean,1+AH20,$B$1), "")</f>
        <v/>
      </c>
      <c r="S20" s="62"/>
      <c r="T20" s="62"/>
      <c r="U20" s="63"/>
      <c r="V20" s="52">
        <f t="shared" si="8"/>
        <v>0</v>
      </c>
      <c r="W20" s="6"/>
      <c r="X20" s="7"/>
      <c r="Y20" s="33"/>
      <c r="Z20" s="8" t="str">
        <f>IF(ISBLANK(Y20), "", VLOOKUP(Y20, Z!$A$2:$C$4127, 3, FALSE))</f>
        <v/>
      </c>
      <c r="AA20" s="38"/>
      <c r="AB20" s="9">
        <f t="shared" si="1"/>
        <v>0</v>
      </c>
      <c r="AC20" s="20"/>
      <c r="AD20" s="41">
        <f t="shared" si="2"/>
        <v>1</v>
      </c>
      <c r="AE20" s="41">
        <f t="shared" si="3"/>
        <v>1</v>
      </c>
      <c r="AF20" s="41">
        <f t="shared" si="4"/>
        <v>0</v>
      </c>
      <c r="AG20" s="41">
        <v>1</v>
      </c>
      <c r="AH20" s="41">
        <v>0</v>
      </c>
      <c r="AI20" s="41">
        <f t="shared" si="5"/>
        <v>-100</v>
      </c>
      <c r="AJ20" s="20"/>
      <c r="AK20" s="41">
        <v>-11</v>
      </c>
      <c r="AL20" s="50">
        <v>0</v>
      </c>
      <c r="AM20" s="50">
        <v>0</v>
      </c>
      <c r="AN20" s="50">
        <v>0</v>
      </c>
      <c r="AO20" s="48">
        <f t="shared" si="6"/>
        <v>0</v>
      </c>
      <c r="AP20" s="48">
        <f t="shared" si="6"/>
        <v>0</v>
      </c>
      <c r="AQ20" s="48" cm="1">
        <f t="array" ref="AQ20">MIN(INDEX(Use,AQ$10,5) + MAX(0, (1-INDEX(Use,AQ$10,5))*($AK20-5)/(35-5)), 1)</f>
        <v>0.4</v>
      </c>
      <c r="AR20" s="48" cm="1">
        <f t="array" ref="AR20">MIN(INDEX(Use,AR$10,5) + MAX(0, (1-INDEX(Use,AR$10,5))*($AK20-5)/(35-5)), 1)</f>
        <v>0.6</v>
      </c>
      <c r="AS20" s="48" cm="1">
        <f t="array" ref="AS20">MIN(INDEX(Use,AS$10,5) + MAX(0, (1-INDEX(Use,AS$10,5))*($AK20-5)/(35-5)), 1)</f>
        <v>0.8</v>
      </c>
      <c r="AT20" s="48" cm="1">
        <f t="array" ref="AT20">MIN(INDEX(Use,AT$10,5) + MAX(0, (1-INDEX(Use,AT$10,5))*($AK20-5)/(35-5)), 1)</f>
        <v>0.8</v>
      </c>
      <c r="AU20" s="48" cm="1">
        <f t="array" ref="AU20">MIN(INDEX(Use,AU$10,5) + MAX(0, (1-INDEX(Use,AU$10,5))*($AK20-5)/(35-5)), 1)</f>
        <v>0.8</v>
      </c>
      <c r="AV20" s="48">
        <v>1</v>
      </c>
      <c r="AW20" s="48">
        <v>1</v>
      </c>
      <c r="AX20" s="15"/>
      <c r="AY20" s="41" cm="1">
        <f t="array" ref="AY20">INDEX(Use, $AD20, 4)</f>
        <v>7</v>
      </c>
      <c r="AZ20" s="41">
        <f t="shared" si="9"/>
        <v>32</v>
      </c>
      <c r="BA20" s="41">
        <f t="shared" si="10"/>
        <v>13</v>
      </c>
      <c r="BB20" s="41">
        <f t="shared" si="11"/>
        <v>0</v>
      </c>
      <c r="BC20" s="57" cm="1">
        <f t="array" ref="BC20">K20/IF($L20&gt;0, INDEX($AO$12:$AU$66, $L20+20, $AD20), 1)</f>
        <v>0</v>
      </c>
      <c r="BD20" s="46">
        <f t="shared" si="12"/>
        <v>0</v>
      </c>
      <c r="BE20" s="41">
        <v>35</v>
      </c>
      <c r="BF20" s="46">
        <f t="shared" si="13"/>
        <v>52.55</v>
      </c>
      <c r="BG20" s="49">
        <f t="shared" si="14"/>
        <v>2.7676728869374316</v>
      </c>
      <c r="BH20" s="49" cm="1">
        <f t="array" ref="BH20">$BC20 * SUMPRODUCT(INDEX($AL$66:$AN$71,,$AE20),INDEX($AO$66:$AU$71,,$AD20), N($AK$66:$AK$71&gt;$AI20)) / BG20 / 1000</f>
        <v>0</v>
      </c>
      <c r="BI20" s="50">
        <f t="shared" si="15"/>
        <v>30</v>
      </c>
      <c r="BJ20" s="46">
        <f t="shared" si="16"/>
        <v>46.033333333333331</v>
      </c>
      <c r="BK20" s="49">
        <f t="shared" si="17"/>
        <v>3.2297395388556791</v>
      </c>
      <c r="BL20" s="49" cm="1">
        <f t="array" ref="BL20">$BC20 * IF($AD20&lt;=2,
SUMPRODUCT(INDEX($AL$61:$AN$65,,$AE20), INDEX($AO$61:$AU$65,,$AD20), 1 / ($AV$61:$AV$65*BK20 + (1-$AV$61:$AV$65)*BG20), N($AK$61:$AK$65&gt;$AI20)),
SUMPRODUCT(INDEX($AL$56:$AN$65,,$AE20), INDEX($AO$56:$AU$65,,$AD20), 1 / ($AW$56:$AW$65*BK20 + (1-$AW$56:$AW$65)*BG20), N($AK$56:$AK$65&gt;$AI20))
) / 1000</f>
        <v>0</v>
      </c>
      <c r="BM20" s="50">
        <f t="shared" si="18"/>
        <v>25</v>
      </c>
      <c r="BN20" s="46">
        <f t="shared" si="19"/>
        <v>39.516666666666666</v>
      </c>
      <c r="BO20" s="49">
        <f t="shared" si="20"/>
        <v>3.877011788826243</v>
      </c>
      <c r="BP20" s="49" cm="1">
        <f t="array" ref="BP20">$BC20 * IF($AD20&lt;=2,
SUMPRODUCT(INDEX($AL$56:$AN$60,,$AE20), INDEX($AO$56:$AU$60,,$AD20), 1 / ($AV$56:$AV$60*BO20 + (1-$AV$56:$AV$60)*BK20), N($AK$56:$AK$60&gt;$AI20)),
SUMPRODUCT(INDEX($AL$46:$AN$55,,$AE20), INDEX($AO$46:$AU$55,,$AD20), 1 / ($AW$46:$AW$55*BO20 + (1-$AW$46:$AW$55)*BK20), N($AK$46:$AK$55&gt;$AI20))
) / 1000</f>
        <v>0</v>
      </c>
      <c r="BQ20" s="50">
        <f t="shared" si="21"/>
        <v>20</v>
      </c>
      <c r="BR20" s="46">
        <f t="shared" si="22"/>
        <v>33</v>
      </c>
      <c r="BS20" s="49">
        <f t="shared" si="23"/>
        <v>4.8487499999999999</v>
      </c>
      <c r="BT20" s="49" cm="1">
        <f t="array" ref="BT20">$BC20 * IF($AD20&lt;=2,
SUMPRODUCT(INDEX($AL$51:$AN$55,,$AE20), INDEX($AO$51:$AU$55,,$AD20), 1 / ($AV$51:$AV$55*BS20 + (1-$AV$51:$AV$55)*BO20), N($AK$51:$AK$55&gt;$AI20)),
SUMPRODUCT(INDEX($AL$36:$AN$45,,$AE20), INDEX($AO$36:$AU$45,,$AD20), 1 / ($AW$36:$AW$45*BS20 + (1-$AW$36:$AW$45)*BO20), N($AK$36:$AK$45&gt;$AI20))
) / 1000</f>
        <v>0</v>
      </c>
      <c r="BU20" s="49" cm="1">
        <f t="array" ref="BU20">$BC20 * IF($AD20&lt;=2,
SUMPRODUCT(INDEX($AL$12:$AN$50,,$AE20), INDEX($AO$12:$AU$50,,$AD20), 1 / ($AV$12:$AV$50*BS20), N($AK$12:$AK$50&gt;$AI20)),
SUMPRODUCT(INDEX($AL$12:$AN$35,,$AE20), INDEX($AO$12:$AU$35,,$AD20), 1 / ($AW$12:$AW$35*BS20), N($AK$12:$AK$35&gt;$AI20))
) / 1000</f>
        <v>0</v>
      </c>
      <c r="BV20" s="46">
        <f t="shared" si="24"/>
        <v>0</v>
      </c>
      <c r="BW20" s="20"/>
      <c r="BX20" s="46">
        <f t="shared" si="25"/>
        <v>0</v>
      </c>
      <c r="BY20" s="41">
        <v>35</v>
      </c>
      <c r="BZ20" s="46">
        <f t="shared" si="26"/>
        <v>48</v>
      </c>
      <c r="CA20" s="49">
        <f t="shared" si="27"/>
        <v>3.0748170731707316</v>
      </c>
      <c r="CB20" s="49" cm="1">
        <f t="array" ref="CB20">$BC20 * SUMPRODUCT(INDEX($AL$66:$AN$71,,$AE20),INDEX($AO$66:$AU$71,,$AD20), N($AK$66:$AK$71&gt;$AI20)) / CA20 / 1000</f>
        <v>0</v>
      </c>
      <c r="CC20" s="50">
        <f t="shared" si="28"/>
        <v>30</v>
      </c>
      <c r="CD20" s="46">
        <f t="shared" si="29"/>
        <v>43</v>
      </c>
      <c r="CE20" s="49">
        <f t="shared" si="30"/>
        <v>3.5018750000000001</v>
      </c>
      <c r="CF20" s="49" cm="1">
        <f t="array" ref="CF20">$BC20 * IF($AD20&lt;=2,
SUMPRODUCT(INDEX($AL$61:$AN$65,,$AE20), INDEX($AO$61:$AU$65,,$AD20), 1 / ($AV$61:$AV$65*CE20 + (1-$AV$61:$AV$65)*CA20), N($AK$61:$AK$65&gt;$AI20)),
SUMPRODUCT(INDEX($AL$56:$AN$65,,$AE20), INDEX($AO$56:$AU$65,,$AD20), 1 / ($AW$56:$AW$65*CE20 + (1-$AW$56:$AW$65)*CA20), N($AK$56:$AK$65&gt;$AI20))
) / 1000</f>
        <v>0</v>
      </c>
      <c r="CG20" s="50">
        <f t="shared" si="31"/>
        <v>25</v>
      </c>
      <c r="CH20" s="46">
        <f t="shared" si="32"/>
        <v>38</v>
      </c>
      <c r="CI20" s="49">
        <f t="shared" si="33"/>
        <v>4.0666935483870965</v>
      </c>
      <c r="CJ20" s="49" cm="1">
        <f t="array" ref="CJ20">$BC20 * IF($AD20&lt;=2,
SUMPRODUCT(INDEX($AL$56:$AN$60,,$AE20), INDEX($AO$56:$AU$60,,$AD20), 1 / ($AV$56:$AV$60*CI20 + (1-$AV$56:$AV$60)*CE20), N($AK$56:$AK$60&gt;$AI20)),
SUMPRODUCT(INDEX($AL$46:$AN$55,,$AE20), INDEX($AO$46:$AU$55,,$AD20), 1 / ($AW$46:$AW$55*CI20 + (1-$AW$46:$AW$55)*CE20), N($AK$46:$AK$55&gt;$AI20))
) / 1000</f>
        <v>0</v>
      </c>
      <c r="CK20" s="50">
        <f t="shared" si="34"/>
        <v>20</v>
      </c>
      <c r="CL20" s="46">
        <f t="shared" si="35"/>
        <v>33</v>
      </c>
      <c r="CM20" s="49">
        <f t="shared" si="36"/>
        <v>4.8487499999999999</v>
      </c>
      <c r="CN20" s="49" cm="1">
        <f t="array" ref="CN20">$BC20 * IF($AD20&lt;=2,
SUMPRODUCT(INDEX($AL$51:$AN$55,,$AE20), INDEX($AO$51:$AU$55,,$AD20), 1 / ($AV$51:$AV$55*CM20 + (1-$AV$51:$AV$55)*CI20), N($AK$51:$AK$55&gt;$AI20)),
SUMPRODUCT(INDEX($AL$36:$AN$45,,$AE20), INDEX($AO$36:$AU$45,,$AD20), 1 / ($AW$36:$AW$45*CM20 + (1-$AW$36:$AW$45)*CI20), N($AK$36:$AK$45&gt;$AI20))
) / 1000</f>
        <v>0</v>
      </c>
      <c r="CO20" s="49" cm="1">
        <f t="array" ref="CO20">$BC20 * IF($AD20&lt;=2,
SUMPRODUCT(INDEX($AL$12:$AN$50,,$AE20), INDEX($AO$12:$AU$50,,$AD20), 1 / ($AV$12:$AV$50*CM20), N($AK$12:$AK$50&gt;$AI20)),
SUMPRODUCT(INDEX($AL$12:$AN$35,,$AE20), INDEX($AO$12:$AU$35,,$AD20), 1 / ($AW$12:$AW$35*CM20), N($AK$12:$AK$35&gt;$AI20))
) / 1000</f>
        <v>0</v>
      </c>
      <c r="CP20" s="46">
        <f t="shared" si="37"/>
        <v>0</v>
      </c>
      <c r="CQ20" s="20"/>
    </row>
    <row r="21" spans="1:95" s="95" customFormat="1" ht="14.25" customHeight="1" x14ac:dyDescent="0.25">
      <c r="A21" s="36" t="b">
        <f t="shared" si="0"/>
        <v>0</v>
      </c>
      <c r="B21" s="94">
        <v>10</v>
      </c>
      <c r="C21" s="7"/>
      <c r="D21" s="7"/>
      <c r="E21" s="33"/>
      <c r="F21" s="8" t="str">
        <f>IF(ISBLANK(E21), "", VLOOKUP(E21, Z!$A$2:$C$4127, 3, FALSE))</f>
        <v/>
      </c>
      <c r="G21" s="44"/>
      <c r="H21" s="44"/>
      <c r="I21" s="107"/>
      <c r="J21" s="108"/>
      <c r="K21" s="34"/>
      <c r="L21" s="59"/>
      <c r="M21" s="58" t="str" cm="1">
        <f t="array" ref="M21">IF($K21&gt;0, INDEX(Clean,1+AG21,$B$1), "")</f>
        <v/>
      </c>
      <c r="N21" s="62"/>
      <c r="O21" s="62"/>
      <c r="P21" s="63"/>
      <c r="Q21" s="52">
        <f t="shared" si="7"/>
        <v>0</v>
      </c>
      <c r="R21" s="58" t="str" cm="1">
        <f t="array" ref="R21">IF($K21&gt;0, INDEX(Clean,1+AH21,$B$1), "")</f>
        <v/>
      </c>
      <c r="S21" s="62"/>
      <c r="T21" s="62"/>
      <c r="U21" s="63"/>
      <c r="V21" s="52">
        <f t="shared" si="8"/>
        <v>0</v>
      </c>
      <c r="W21" s="6"/>
      <c r="X21" s="7"/>
      <c r="Y21" s="33"/>
      <c r="Z21" s="8" t="str">
        <f>IF(ISBLANK(Y21), "", VLOOKUP(Y21, Z!$A$2:$C$4127, 3, FALSE))</f>
        <v/>
      </c>
      <c r="AA21" s="38"/>
      <c r="AB21" s="9">
        <f t="shared" si="1"/>
        <v>0</v>
      </c>
      <c r="AC21" s="20"/>
      <c r="AD21" s="41">
        <f t="shared" si="2"/>
        <v>1</v>
      </c>
      <c r="AE21" s="41">
        <f t="shared" si="3"/>
        <v>1</v>
      </c>
      <c r="AF21" s="41">
        <f t="shared" si="4"/>
        <v>0</v>
      </c>
      <c r="AG21" s="41">
        <v>1</v>
      </c>
      <c r="AH21" s="41">
        <v>0</v>
      </c>
      <c r="AI21" s="41">
        <f t="shared" si="5"/>
        <v>-100</v>
      </c>
      <c r="AJ21" s="20"/>
      <c r="AK21" s="41">
        <v>-10</v>
      </c>
      <c r="AL21" s="50">
        <v>0</v>
      </c>
      <c r="AM21" s="50">
        <v>2</v>
      </c>
      <c r="AN21" s="50">
        <v>6</v>
      </c>
      <c r="AO21" s="48">
        <f t="shared" si="6"/>
        <v>0</v>
      </c>
      <c r="AP21" s="48">
        <f t="shared" si="6"/>
        <v>0</v>
      </c>
      <c r="AQ21" s="48" cm="1">
        <f t="array" ref="AQ21">MIN(INDEX(Use,AQ$10,5) + MAX(0, (1-INDEX(Use,AQ$10,5))*($AK21-5)/(35-5)), 1)</f>
        <v>0.4</v>
      </c>
      <c r="AR21" s="48" cm="1">
        <f t="array" ref="AR21">MIN(INDEX(Use,AR$10,5) + MAX(0, (1-INDEX(Use,AR$10,5))*($AK21-5)/(35-5)), 1)</f>
        <v>0.6</v>
      </c>
      <c r="AS21" s="48" cm="1">
        <f t="array" ref="AS21">MIN(INDEX(Use,AS$10,5) + MAX(0, (1-INDEX(Use,AS$10,5))*($AK21-5)/(35-5)), 1)</f>
        <v>0.8</v>
      </c>
      <c r="AT21" s="48" cm="1">
        <f t="array" ref="AT21">MIN(INDEX(Use,AT$10,5) + MAX(0, (1-INDEX(Use,AT$10,5))*($AK21-5)/(35-5)), 1)</f>
        <v>0.8</v>
      </c>
      <c r="AU21" s="48" cm="1">
        <f t="array" ref="AU21">MIN(INDEX(Use,AU$10,5) + MAX(0, (1-INDEX(Use,AU$10,5))*($AK21-5)/(35-5)), 1)</f>
        <v>0.8</v>
      </c>
      <c r="AV21" s="48">
        <v>1</v>
      </c>
      <c r="AW21" s="48">
        <v>1</v>
      </c>
      <c r="AX21" s="15"/>
      <c r="AY21" s="41" cm="1">
        <f t="array" ref="AY21">INDEX(Use, $AD21, 4)</f>
        <v>7</v>
      </c>
      <c r="AZ21" s="41">
        <f t="shared" si="9"/>
        <v>32</v>
      </c>
      <c r="BA21" s="41">
        <f t="shared" si="10"/>
        <v>13</v>
      </c>
      <c r="BB21" s="41">
        <f t="shared" si="11"/>
        <v>0</v>
      </c>
      <c r="BC21" s="57" cm="1">
        <f t="array" ref="BC21">K21/IF($L21&gt;0, INDEX($AO$12:$AU$66, $L21+20, $AD21), 1)</f>
        <v>0</v>
      </c>
      <c r="BD21" s="46">
        <f t="shared" si="12"/>
        <v>0</v>
      </c>
      <c r="BE21" s="41">
        <v>35</v>
      </c>
      <c r="BF21" s="46">
        <f t="shared" si="13"/>
        <v>52.55</v>
      </c>
      <c r="BG21" s="49">
        <f t="shared" si="14"/>
        <v>2.7676728869374316</v>
      </c>
      <c r="BH21" s="49" cm="1">
        <f t="array" ref="BH21">$BC21 * SUMPRODUCT(INDEX($AL$66:$AN$71,,$AE21),INDEX($AO$66:$AU$71,,$AD21), N($AK$66:$AK$71&gt;$AI21)) / BG21 / 1000</f>
        <v>0</v>
      </c>
      <c r="BI21" s="50">
        <f t="shared" si="15"/>
        <v>30</v>
      </c>
      <c r="BJ21" s="46">
        <f t="shared" si="16"/>
        <v>46.033333333333331</v>
      </c>
      <c r="BK21" s="49">
        <f t="shared" si="17"/>
        <v>3.2297395388556791</v>
      </c>
      <c r="BL21" s="49" cm="1">
        <f t="array" ref="BL21">$BC21 * IF($AD21&lt;=2,
SUMPRODUCT(INDEX($AL$61:$AN$65,,$AE21), INDEX($AO$61:$AU$65,,$AD21), 1 / ($AV$61:$AV$65*BK21 + (1-$AV$61:$AV$65)*BG21), N($AK$61:$AK$65&gt;$AI21)),
SUMPRODUCT(INDEX($AL$56:$AN$65,,$AE21), INDEX($AO$56:$AU$65,,$AD21), 1 / ($AW$56:$AW$65*BK21 + (1-$AW$56:$AW$65)*BG21), N($AK$56:$AK$65&gt;$AI21))
) / 1000</f>
        <v>0</v>
      </c>
      <c r="BM21" s="50">
        <f t="shared" si="18"/>
        <v>25</v>
      </c>
      <c r="BN21" s="46">
        <f t="shared" si="19"/>
        <v>39.516666666666666</v>
      </c>
      <c r="BO21" s="49">
        <f t="shared" si="20"/>
        <v>3.877011788826243</v>
      </c>
      <c r="BP21" s="49" cm="1">
        <f t="array" ref="BP21">$BC21 * IF($AD21&lt;=2,
SUMPRODUCT(INDEX($AL$56:$AN$60,,$AE21), INDEX($AO$56:$AU$60,,$AD21), 1 / ($AV$56:$AV$60*BO21 + (1-$AV$56:$AV$60)*BK21), N($AK$56:$AK$60&gt;$AI21)),
SUMPRODUCT(INDEX($AL$46:$AN$55,,$AE21), INDEX($AO$46:$AU$55,,$AD21), 1 / ($AW$46:$AW$55*BO21 + (1-$AW$46:$AW$55)*BK21), N($AK$46:$AK$55&gt;$AI21))
) / 1000</f>
        <v>0</v>
      </c>
      <c r="BQ21" s="50">
        <f t="shared" si="21"/>
        <v>20</v>
      </c>
      <c r="BR21" s="46">
        <f t="shared" si="22"/>
        <v>33</v>
      </c>
      <c r="BS21" s="49">
        <f t="shared" si="23"/>
        <v>4.8487499999999999</v>
      </c>
      <c r="BT21" s="49" cm="1">
        <f t="array" ref="BT21">$BC21 * IF($AD21&lt;=2,
SUMPRODUCT(INDEX($AL$51:$AN$55,,$AE21), INDEX($AO$51:$AU$55,,$AD21), 1 / ($AV$51:$AV$55*BS21 + (1-$AV$51:$AV$55)*BO21), N($AK$51:$AK$55&gt;$AI21)),
SUMPRODUCT(INDEX($AL$36:$AN$45,,$AE21), INDEX($AO$36:$AU$45,,$AD21), 1 / ($AW$36:$AW$45*BS21 + (1-$AW$36:$AW$45)*BO21), N($AK$36:$AK$45&gt;$AI21))
) / 1000</f>
        <v>0</v>
      </c>
      <c r="BU21" s="49" cm="1">
        <f t="array" ref="BU21">$BC21 * IF($AD21&lt;=2,
SUMPRODUCT(INDEX($AL$12:$AN$50,,$AE21), INDEX($AO$12:$AU$50,,$AD21), 1 / ($AV$12:$AV$50*BS21), N($AK$12:$AK$50&gt;$AI21)),
SUMPRODUCT(INDEX($AL$12:$AN$35,,$AE21), INDEX($AO$12:$AU$35,,$AD21), 1 / ($AW$12:$AW$35*BS21), N($AK$12:$AK$35&gt;$AI21))
) / 1000</f>
        <v>0</v>
      </c>
      <c r="BV21" s="46">
        <f t="shared" si="24"/>
        <v>0</v>
      </c>
      <c r="BW21" s="20"/>
      <c r="BX21" s="46">
        <f t="shared" si="25"/>
        <v>0</v>
      </c>
      <c r="BY21" s="41">
        <v>35</v>
      </c>
      <c r="BZ21" s="46">
        <f t="shared" si="26"/>
        <v>48</v>
      </c>
      <c r="CA21" s="49">
        <f t="shared" si="27"/>
        <v>3.0748170731707316</v>
      </c>
      <c r="CB21" s="49" cm="1">
        <f t="array" ref="CB21">$BC21 * SUMPRODUCT(INDEX($AL$66:$AN$71,,$AE21),INDEX($AO$66:$AU$71,,$AD21), N($AK$66:$AK$71&gt;$AI21)) / CA21 / 1000</f>
        <v>0</v>
      </c>
      <c r="CC21" s="50">
        <f t="shared" si="28"/>
        <v>30</v>
      </c>
      <c r="CD21" s="46">
        <f t="shared" si="29"/>
        <v>43</v>
      </c>
      <c r="CE21" s="49">
        <f t="shared" si="30"/>
        <v>3.5018750000000001</v>
      </c>
      <c r="CF21" s="49" cm="1">
        <f t="array" ref="CF21">$BC21 * IF($AD21&lt;=2,
SUMPRODUCT(INDEX($AL$61:$AN$65,,$AE21), INDEX($AO$61:$AU$65,,$AD21), 1 / ($AV$61:$AV$65*CE21 + (1-$AV$61:$AV$65)*CA21), N($AK$61:$AK$65&gt;$AI21)),
SUMPRODUCT(INDEX($AL$56:$AN$65,,$AE21), INDEX($AO$56:$AU$65,,$AD21), 1 / ($AW$56:$AW$65*CE21 + (1-$AW$56:$AW$65)*CA21), N($AK$56:$AK$65&gt;$AI21))
) / 1000</f>
        <v>0</v>
      </c>
      <c r="CG21" s="50">
        <f t="shared" si="31"/>
        <v>25</v>
      </c>
      <c r="CH21" s="46">
        <f t="shared" si="32"/>
        <v>38</v>
      </c>
      <c r="CI21" s="49">
        <f t="shared" si="33"/>
        <v>4.0666935483870965</v>
      </c>
      <c r="CJ21" s="49" cm="1">
        <f t="array" ref="CJ21">$BC21 * IF($AD21&lt;=2,
SUMPRODUCT(INDEX($AL$56:$AN$60,,$AE21), INDEX($AO$56:$AU$60,,$AD21), 1 / ($AV$56:$AV$60*CI21 + (1-$AV$56:$AV$60)*CE21), N($AK$56:$AK$60&gt;$AI21)),
SUMPRODUCT(INDEX($AL$46:$AN$55,,$AE21), INDEX($AO$46:$AU$55,,$AD21), 1 / ($AW$46:$AW$55*CI21 + (1-$AW$46:$AW$55)*CE21), N($AK$46:$AK$55&gt;$AI21))
) / 1000</f>
        <v>0</v>
      </c>
      <c r="CK21" s="50">
        <f t="shared" si="34"/>
        <v>20</v>
      </c>
      <c r="CL21" s="46">
        <f t="shared" si="35"/>
        <v>33</v>
      </c>
      <c r="CM21" s="49">
        <f t="shared" si="36"/>
        <v>4.8487499999999999</v>
      </c>
      <c r="CN21" s="49" cm="1">
        <f t="array" ref="CN21">$BC21 * IF($AD21&lt;=2,
SUMPRODUCT(INDEX($AL$51:$AN$55,,$AE21), INDEX($AO$51:$AU$55,,$AD21), 1 / ($AV$51:$AV$55*CM21 + (1-$AV$51:$AV$55)*CI21), N($AK$51:$AK$55&gt;$AI21)),
SUMPRODUCT(INDEX($AL$36:$AN$45,,$AE21), INDEX($AO$36:$AU$45,,$AD21), 1 / ($AW$36:$AW$45*CM21 + (1-$AW$36:$AW$45)*CI21), N($AK$36:$AK$45&gt;$AI21))
) / 1000</f>
        <v>0</v>
      </c>
      <c r="CO21" s="49" cm="1">
        <f t="array" ref="CO21">$BC21 * IF($AD21&lt;=2,
SUMPRODUCT(INDEX($AL$12:$AN$50,,$AE21), INDEX($AO$12:$AU$50,,$AD21), 1 / ($AV$12:$AV$50*CM21), N($AK$12:$AK$50&gt;$AI21)),
SUMPRODUCT(INDEX($AL$12:$AN$35,,$AE21), INDEX($AO$12:$AU$35,,$AD21), 1 / ($AW$12:$AW$35*CM21), N($AK$12:$AK$35&gt;$AI21))
) / 1000</f>
        <v>0</v>
      </c>
      <c r="CP21" s="46">
        <f t="shared" si="37"/>
        <v>0</v>
      </c>
      <c r="CQ21" s="20"/>
    </row>
    <row r="22" spans="1:95" s="95" customFormat="1" ht="14.25" customHeight="1" x14ac:dyDescent="0.25">
      <c r="A22" s="36" t="b">
        <f t="shared" si="0"/>
        <v>0</v>
      </c>
      <c r="B22" s="94">
        <v>11</v>
      </c>
      <c r="C22" s="7"/>
      <c r="D22" s="7"/>
      <c r="E22" s="33"/>
      <c r="F22" s="8" t="str">
        <f>IF(ISBLANK(E22), "", VLOOKUP(E22, Z!$A$2:$C$4127, 3, FALSE))</f>
        <v/>
      </c>
      <c r="G22" s="44"/>
      <c r="H22" s="44"/>
      <c r="I22" s="107"/>
      <c r="J22" s="108"/>
      <c r="K22" s="34"/>
      <c r="L22" s="59"/>
      <c r="M22" s="58" t="str" cm="1">
        <f t="array" ref="M22">IF($K22&gt;0, INDEX(Clean,1+AG22,$B$1), "")</f>
        <v/>
      </c>
      <c r="N22" s="62"/>
      <c r="O22" s="62"/>
      <c r="P22" s="63"/>
      <c r="Q22" s="52">
        <f t="shared" si="7"/>
        <v>0</v>
      </c>
      <c r="R22" s="58" t="str" cm="1">
        <f t="array" ref="R22">IF($K22&gt;0, INDEX(Clean,1+AH22,$B$1), "")</f>
        <v/>
      </c>
      <c r="S22" s="62"/>
      <c r="T22" s="62"/>
      <c r="U22" s="63"/>
      <c r="V22" s="52">
        <f t="shared" si="8"/>
        <v>0</v>
      </c>
      <c r="W22" s="6"/>
      <c r="X22" s="7"/>
      <c r="Y22" s="33"/>
      <c r="Z22" s="8" t="str">
        <f>IF(ISBLANK(Y22), "", VLOOKUP(Y22, Z!$A$2:$C$4127, 3, FALSE))</f>
        <v/>
      </c>
      <c r="AA22" s="38"/>
      <c r="AB22" s="9">
        <f t="shared" si="1"/>
        <v>0</v>
      </c>
      <c r="AC22" s="20"/>
      <c r="AD22" s="41">
        <f t="shared" si="2"/>
        <v>1</v>
      </c>
      <c r="AE22" s="41">
        <f t="shared" si="3"/>
        <v>1</v>
      </c>
      <c r="AF22" s="41">
        <f t="shared" si="4"/>
        <v>0</v>
      </c>
      <c r="AG22" s="41">
        <v>1</v>
      </c>
      <c r="AH22" s="41">
        <v>0</v>
      </c>
      <c r="AI22" s="41">
        <f t="shared" si="5"/>
        <v>-100</v>
      </c>
      <c r="AJ22" s="20"/>
      <c r="AK22" s="41">
        <v>-9</v>
      </c>
      <c r="AL22" s="50">
        <v>0</v>
      </c>
      <c r="AM22" s="50">
        <v>4</v>
      </c>
      <c r="AN22" s="50">
        <v>45</v>
      </c>
      <c r="AO22" s="48">
        <f t="shared" si="6"/>
        <v>0</v>
      </c>
      <c r="AP22" s="48">
        <f t="shared" si="6"/>
        <v>0</v>
      </c>
      <c r="AQ22" s="48" cm="1">
        <f t="array" ref="AQ22">MIN(INDEX(Use,AQ$10,5) + MAX(0, (1-INDEX(Use,AQ$10,5))*($AK22-5)/(35-5)), 1)</f>
        <v>0.4</v>
      </c>
      <c r="AR22" s="48" cm="1">
        <f t="array" ref="AR22">MIN(INDEX(Use,AR$10,5) + MAX(0, (1-INDEX(Use,AR$10,5))*($AK22-5)/(35-5)), 1)</f>
        <v>0.6</v>
      </c>
      <c r="AS22" s="48" cm="1">
        <f t="array" ref="AS22">MIN(INDEX(Use,AS$10,5) + MAX(0, (1-INDEX(Use,AS$10,5))*($AK22-5)/(35-5)), 1)</f>
        <v>0.8</v>
      </c>
      <c r="AT22" s="48" cm="1">
        <f t="array" ref="AT22">MIN(INDEX(Use,AT$10,5) + MAX(0, (1-INDEX(Use,AT$10,5))*($AK22-5)/(35-5)), 1)</f>
        <v>0.8</v>
      </c>
      <c r="AU22" s="48" cm="1">
        <f t="array" ref="AU22">MIN(INDEX(Use,AU$10,5) + MAX(0, (1-INDEX(Use,AU$10,5))*($AK22-5)/(35-5)), 1)</f>
        <v>0.8</v>
      </c>
      <c r="AV22" s="48">
        <v>1</v>
      </c>
      <c r="AW22" s="48">
        <v>1</v>
      </c>
      <c r="AX22" s="15"/>
      <c r="AY22" s="41" cm="1">
        <f t="array" ref="AY22">INDEX(Use, $AD22, 4)</f>
        <v>7</v>
      </c>
      <c r="AZ22" s="41">
        <f t="shared" si="9"/>
        <v>32</v>
      </c>
      <c r="BA22" s="41">
        <f t="shared" si="10"/>
        <v>13</v>
      </c>
      <c r="BB22" s="41">
        <f t="shared" si="11"/>
        <v>0</v>
      </c>
      <c r="BC22" s="57" cm="1">
        <f t="array" ref="BC22">K22/IF($L22&gt;0, INDEX($AO$12:$AU$66, $L22+20, $AD22), 1)</f>
        <v>0</v>
      </c>
      <c r="BD22" s="46">
        <f t="shared" si="12"/>
        <v>0</v>
      </c>
      <c r="BE22" s="41">
        <v>35</v>
      </c>
      <c r="BF22" s="46">
        <f t="shared" si="13"/>
        <v>52.55</v>
      </c>
      <c r="BG22" s="49">
        <f t="shared" si="14"/>
        <v>2.7676728869374316</v>
      </c>
      <c r="BH22" s="49" cm="1">
        <f t="array" ref="BH22">$BC22 * SUMPRODUCT(INDEX($AL$66:$AN$71,,$AE22),INDEX($AO$66:$AU$71,,$AD22), N($AK$66:$AK$71&gt;$AI22)) / BG22 / 1000</f>
        <v>0</v>
      </c>
      <c r="BI22" s="50">
        <f t="shared" si="15"/>
        <v>30</v>
      </c>
      <c r="BJ22" s="46">
        <f t="shared" si="16"/>
        <v>46.033333333333331</v>
      </c>
      <c r="BK22" s="49">
        <f t="shared" si="17"/>
        <v>3.2297395388556791</v>
      </c>
      <c r="BL22" s="49" cm="1">
        <f t="array" ref="BL22">$BC22 * IF($AD22&lt;=2,
SUMPRODUCT(INDEX($AL$61:$AN$65,,$AE22), INDEX($AO$61:$AU$65,,$AD22), 1 / ($AV$61:$AV$65*BK22 + (1-$AV$61:$AV$65)*BG22), N($AK$61:$AK$65&gt;$AI22)),
SUMPRODUCT(INDEX($AL$56:$AN$65,,$AE22), INDEX($AO$56:$AU$65,,$AD22), 1 / ($AW$56:$AW$65*BK22 + (1-$AW$56:$AW$65)*BG22), N($AK$56:$AK$65&gt;$AI22))
) / 1000</f>
        <v>0</v>
      </c>
      <c r="BM22" s="50">
        <f t="shared" si="18"/>
        <v>25</v>
      </c>
      <c r="BN22" s="46">
        <f t="shared" si="19"/>
        <v>39.516666666666666</v>
      </c>
      <c r="BO22" s="49">
        <f t="shared" si="20"/>
        <v>3.877011788826243</v>
      </c>
      <c r="BP22" s="49" cm="1">
        <f t="array" ref="BP22">$BC22 * IF($AD22&lt;=2,
SUMPRODUCT(INDEX($AL$56:$AN$60,,$AE22), INDEX($AO$56:$AU$60,,$AD22), 1 / ($AV$56:$AV$60*BO22 + (1-$AV$56:$AV$60)*BK22), N($AK$56:$AK$60&gt;$AI22)),
SUMPRODUCT(INDEX($AL$46:$AN$55,,$AE22), INDEX($AO$46:$AU$55,,$AD22), 1 / ($AW$46:$AW$55*BO22 + (1-$AW$46:$AW$55)*BK22), N($AK$46:$AK$55&gt;$AI22))
) / 1000</f>
        <v>0</v>
      </c>
      <c r="BQ22" s="50">
        <f t="shared" si="21"/>
        <v>20</v>
      </c>
      <c r="BR22" s="46">
        <f t="shared" si="22"/>
        <v>33</v>
      </c>
      <c r="BS22" s="49">
        <f t="shared" si="23"/>
        <v>4.8487499999999999</v>
      </c>
      <c r="BT22" s="49" cm="1">
        <f t="array" ref="BT22">$BC22 * IF($AD22&lt;=2,
SUMPRODUCT(INDEX($AL$51:$AN$55,,$AE22), INDEX($AO$51:$AU$55,,$AD22), 1 / ($AV$51:$AV$55*BS22 + (1-$AV$51:$AV$55)*BO22), N($AK$51:$AK$55&gt;$AI22)),
SUMPRODUCT(INDEX($AL$36:$AN$45,,$AE22), INDEX($AO$36:$AU$45,,$AD22), 1 / ($AW$36:$AW$45*BS22 + (1-$AW$36:$AW$45)*BO22), N($AK$36:$AK$45&gt;$AI22))
) / 1000</f>
        <v>0</v>
      </c>
      <c r="BU22" s="49" cm="1">
        <f t="array" ref="BU22">$BC22 * IF($AD22&lt;=2,
SUMPRODUCT(INDEX($AL$12:$AN$50,,$AE22), INDEX($AO$12:$AU$50,,$AD22), 1 / ($AV$12:$AV$50*BS22), N($AK$12:$AK$50&gt;$AI22)),
SUMPRODUCT(INDEX($AL$12:$AN$35,,$AE22), INDEX($AO$12:$AU$35,,$AD22), 1 / ($AW$12:$AW$35*BS22), N($AK$12:$AK$35&gt;$AI22))
) / 1000</f>
        <v>0</v>
      </c>
      <c r="BV22" s="46">
        <f t="shared" si="24"/>
        <v>0</v>
      </c>
      <c r="BW22" s="20"/>
      <c r="BX22" s="46">
        <f t="shared" si="25"/>
        <v>0</v>
      </c>
      <c r="BY22" s="41">
        <v>35</v>
      </c>
      <c r="BZ22" s="46">
        <f t="shared" si="26"/>
        <v>48</v>
      </c>
      <c r="CA22" s="49">
        <f t="shared" si="27"/>
        <v>3.0748170731707316</v>
      </c>
      <c r="CB22" s="49" cm="1">
        <f t="array" ref="CB22">$BC22 * SUMPRODUCT(INDEX($AL$66:$AN$71,,$AE22),INDEX($AO$66:$AU$71,,$AD22), N($AK$66:$AK$71&gt;$AI22)) / CA22 / 1000</f>
        <v>0</v>
      </c>
      <c r="CC22" s="50">
        <f t="shared" si="28"/>
        <v>30</v>
      </c>
      <c r="CD22" s="46">
        <f t="shared" si="29"/>
        <v>43</v>
      </c>
      <c r="CE22" s="49">
        <f t="shared" si="30"/>
        <v>3.5018750000000001</v>
      </c>
      <c r="CF22" s="49" cm="1">
        <f t="array" ref="CF22">$BC22 * IF($AD22&lt;=2,
SUMPRODUCT(INDEX($AL$61:$AN$65,,$AE22), INDEX($AO$61:$AU$65,,$AD22), 1 / ($AV$61:$AV$65*CE22 + (1-$AV$61:$AV$65)*CA22), N($AK$61:$AK$65&gt;$AI22)),
SUMPRODUCT(INDEX($AL$56:$AN$65,,$AE22), INDEX($AO$56:$AU$65,,$AD22), 1 / ($AW$56:$AW$65*CE22 + (1-$AW$56:$AW$65)*CA22), N($AK$56:$AK$65&gt;$AI22))
) / 1000</f>
        <v>0</v>
      </c>
      <c r="CG22" s="50">
        <f t="shared" si="31"/>
        <v>25</v>
      </c>
      <c r="CH22" s="46">
        <f t="shared" si="32"/>
        <v>38</v>
      </c>
      <c r="CI22" s="49">
        <f t="shared" si="33"/>
        <v>4.0666935483870965</v>
      </c>
      <c r="CJ22" s="49" cm="1">
        <f t="array" ref="CJ22">$BC22 * IF($AD22&lt;=2,
SUMPRODUCT(INDEX($AL$56:$AN$60,,$AE22), INDEX($AO$56:$AU$60,,$AD22), 1 / ($AV$56:$AV$60*CI22 + (1-$AV$56:$AV$60)*CE22), N($AK$56:$AK$60&gt;$AI22)),
SUMPRODUCT(INDEX($AL$46:$AN$55,,$AE22), INDEX($AO$46:$AU$55,,$AD22), 1 / ($AW$46:$AW$55*CI22 + (1-$AW$46:$AW$55)*CE22), N($AK$46:$AK$55&gt;$AI22))
) / 1000</f>
        <v>0</v>
      </c>
      <c r="CK22" s="50">
        <f t="shared" si="34"/>
        <v>20</v>
      </c>
      <c r="CL22" s="46">
        <f t="shared" si="35"/>
        <v>33</v>
      </c>
      <c r="CM22" s="49">
        <f t="shared" si="36"/>
        <v>4.8487499999999999</v>
      </c>
      <c r="CN22" s="49" cm="1">
        <f t="array" ref="CN22">$BC22 * IF($AD22&lt;=2,
SUMPRODUCT(INDEX($AL$51:$AN$55,,$AE22), INDEX($AO$51:$AU$55,,$AD22), 1 / ($AV$51:$AV$55*CM22 + (1-$AV$51:$AV$55)*CI22), N($AK$51:$AK$55&gt;$AI22)),
SUMPRODUCT(INDEX($AL$36:$AN$45,,$AE22), INDEX($AO$36:$AU$45,,$AD22), 1 / ($AW$36:$AW$45*CM22 + (1-$AW$36:$AW$45)*CI22), N($AK$36:$AK$45&gt;$AI22))
) / 1000</f>
        <v>0</v>
      </c>
      <c r="CO22" s="49" cm="1">
        <f t="array" ref="CO22">$BC22 * IF($AD22&lt;=2,
SUMPRODUCT(INDEX($AL$12:$AN$50,,$AE22), INDEX($AO$12:$AU$50,,$AD22), 1 / ($AV$12:$AV$50*CM22), N($AK$12:$AK$50&gt;$AI22)),
SUMPRODUCT(INDEX($AL$12:$AN$35,,$AE22), INDEX($AO$12:$AU$35,,$AD22), 1 / ($AW$12:$AW$35*CM22), N($AK$12:$AK$35&gt;$AI22))
) / 1000</f>
        <v>0</v>
      </c>
      <c r="CP22" s="46">
        <f t="shared" si="37"/>
        <v>0</v>
      </c>
      <c r="CQ22" s="20"/>
    </row>
    <row r="23" spans="1:95" s="95" customFormat="1" ht="14.25" customHeight="1" x14ac:dyDescent="0.25">
      <c r="A23" s="36" t="b">
        <f t="shared" si="0"/>
        <v>0</v>
      </c>
      <c r="B23" s="94">
        <v>12</v>
      </c>
      <c r="C23" s="7"/>
      <c r="D23" s="7"/>
      <c r="E23" s="33"/>
      <c r="F23" s="8" t="str">
        <f>IF(ISBLANK(E23), "", VLOOKUP(E23, Z!$A$2:$C$4127, 3, FALSE))</f>
        <v/>
      </c>
      <c r="G23" s="44"/>
      <c r="H23" s="44"/>
      <c r="I23" s="107"/>
      <c r="J23" s="108"/>
      <c r="K23" s="34"/>
      <c r="L23" s="59"/>
      <c r="M23" s="58" t="str" cm="1">
        <f t="array" ref="M23">IF($K23&gt;0, INDEX(Clean,1+AG23,$B$1), "")</f>
        <v/>
      </c>
      <c r="N23" s="62"/>
      <c r="O23" s="62"/>
      <c r="P23" s="63"/>
      <c r="Q23" s="52">
        <f t="shared" si="7"/>
        <v>0</v>
      </c>
      <c r="R23" s="58" t="str" cm="1">
        <f t="array" ref="R23">IF($K23&gt;0, INDEX(Clean,1+AH23,$B$1), "")</f>
        <v/>
      </c>
      <c r="S23" s="62"/>
      <c r="T23" s="62"/>
      <c r="U23" s="63"/>
      <c r="V23" s="52">
        <f t="shared" si="8"/>
        <v>0</v>
      </c>
      <c r="W23" s="6"/>
      <c r="X23" s="7"/>
      <c r="Y23" s="33"/>
      <c r="Z23" s="8" t="str">
        <f>IF(ISBLANK(Y23), "", VLOOKUP(Y23, Z!$A$2:$C$4127, 3, FALSE))</f>
        <v/>
      </c>
      <c r="AA23" s="38"/>
      <c r="AB23" s="9">
        <f t="shared" si="1"/>
        <v>0</v>
      </c>
      <c r="AC23" s="20"/>
      <c r="AD23" s="41">
        <f t="shared" si="2"/>
        <v>1</v>
      </c>
      <c r="AE23" s="41">
        <f t="shared" si="3"/>
        <v>1</v>
      </c>
      <c r="AF23" s="41">
        <f t="shared" si="4"/>
        <v>0</v>
      </c>
      <c r="AG23" s="41">
        <v>1</v>
      </c>
      <c r="AH23" s="41">
        <v>0</v>
      </c>
      <c r="AI23" s="41">
        <f t="shared" si="5"/>
        <v>-100</v>
      </c>
      <c r="AJ23" s="20"/>
      <c r="AK23" s="41">
        <v>-8</v>
      </c>
      <c r="AL23" s="50">
        <v>0</v>
      </c>
      <c r="AM23" s="50">
        <v>3</v>
      </c>
      <c r="AN23" s="50">
        <v>48</v>
      </c>
      <c r="AO23" s="48">
        <f t="shared" si="6"/>
        <v>0</v>
      </c>
      <c r="AP23" s="48">
        <f t="shared" si="6"/>
        <v>0</v>
      </c>
      <c r="AQ23" s="48" cm="1">
        <f t="array" ref="AQ23">MIN(INDEX(Use,AQ$10,5) + MAX(0, (1-INDEX(Use,AQ$10,5))*($AK23-5)/(35-5)), 1)</f>
        <v>0.4</v>
      </c>
      <c r="AR23" s="48" cm="1">
        <f t="array" ref="AR23">MIN(INDEX(Use,AR$10,5) + MAX(0, (1-INDEX(Use,AR$10,5))*($AK23-5)/(35-5)), 1)</f>
        <v>0.6</v>
      </c>
      <c r="AS23" s="48" cm="1">
        <f t="array" ref="AS23">MIN(INDEX(Use,AS$10,5) + MAX(0, (1-INDEX(Use,AS$10,5))*($AK23-5)/(35-5)), 1)</f>
        <v>0.8</v>
      </c>
      <c r="AT23" s="48" cm="1">
        <f t="array" ref="AT23">MIN(INDEX(Use,AT$10,5) + MAX(0, (1-INDEX(Use,AT$10,5))*($AK23-5)/(35-5)), 1)</f>
        <v>0.8</v>
      </c>
      <c r="AU23" s="48" cm="1">
        <f t="array" ref="AU23">MIN(INDEX(Use,AU$10,5) + MAX(0, (1-INDEX(Use,AU$10,5))*($AK23-5)/(35-5)), 1)</f>
        <v>0.8</v>
      </c>
      <c r="AV23" s="48">
        <v>1</v>
      </c>
      <c r="AW23" s="48">
        <v>1</v>
      </c>
      <c r="AX23" s="15"/>
      <c r="AY23" s="41" cm="1">
        <f t="array" ref="AY23">INDEX(Use, $AD23, 4)</f>
        <v>7</v>
      </c>
      <c r="AZ23" s="41">
        <f t="shared" si="9"/>
        <v>32</v>
      </c>
      <c r="BA23" s="41">
        <f t="shared" si="10"/>
        <v>13</v>
      </c>
      <c r="BB23" s="41">
        <f t="shared" si="11"/>
        <v>0</v>
      </c>
      <c r="BC23" s="57" cm="1">
        <f t="array" ref="BC23">K23/IF($L23&gt;0, INDEX($AO$12:$AU$66, $L23+20, $AD23), 1)</f>
        <v>0</v>
      </c>
      <c r="BD23" s="46">
        <f t="shared" si="12"/>
        <v>0</v>
      </c>
      <c r="BE23" s="41">
        <v>35</v>
      </c>
      <c r="BF23" s="46">
        <f t="shared" si="13"/>
        <v>52.55</v>
      </c>
      <c r="BG23" s="49">
        <f t="shared" si="14"/>
        <v>2.7676728869374316</v>
      </c>
      <c r="BH23" s="49" cm="1">
        <f t="array" ref="BH23">$BC23 * SUMPRODUCT(INDEX($AL$66:$AN$71,,$AE23),INDEX($AO$66:$AU$71,,$AD23), N($AK$66:$AK$71&gt;$AI23)) / BG23 / 1000</f>
        <v>0</v>
      </c>
      <c r="BI23" s="50">
        <f t="shared" si="15"/>
        <v>30</v>
      </c>
      <c r="BJ23" s="46">
        <f t="shared" si="16"/>
        <v>46.033333333333331</v>
      </c>
      <c r="BK23" s="49">
        <f t="shared" si="17"/>
        <v>3.2297395388556791</v>
      </c>
      <c r="BL23" s="49" cm="1">
        <f t="array" ref="BL23">$BC23 * IF($AD23&lt;=2,
SUMPRODUCT(INDEX($AL$61:$AN$65,,$AE23), INDEX($AO$61:$AU$65,,$AD23), 1 / ($AV$61:$AV$65*BK23 + (1-$AV$61:$AV$65)*BG23), N($AK$61:$AK$65&gt;$AI23)),
SUMPRODUCT(INDEX($AL$56:$AN$65,,$AE23), INDEX($AO$56:$AU$65,,$AD23), 1 / ($AW$56:$AW$65*BK23 + (1-$AW$56:$AW$65)*BG23), N($AK$56:$AK$65&gt;$AI23))
) / 1000</f>
        <v>0</v>
      </c>
      <c r="BM23" s="50">
        <f t="shared" si="18"/>
        <v>25</v>
      </c>
      <c r="BN23" s="46">
        <f t="shared" si="19"/>
        <v>39.516666666666666</v>
      </c>
      <c r="BO23" s="49">
        <f t="shared" si="20"/>
        <v>3.877011788826243</v>
      </c>
      <c r="BP23" s="49" cm="1">
        <f t="array" ref="BP23">$BC23 * IF($AD23&lt;=2,
SUMPRODUCT(INDEX($AL$56:$AN$60,,$AE23), INDEX($AO$56:$AU$60,,$AD23), 1 / ($AV$56:$AV$60*BO23 + (1-$AV$56:$AV$60)*BK23), N($AK$56:$AK$60&gt;$AI23)),
SUMPRODUCT(INDEX($AL$46:$AN$55,,$AE23), INDEX($AO$46:$AU$55,,$AD23), 1 / ($AW$46:$AW$55*BO23 + (1-$AW$46:$AW$55)*BK23), N($AK$46:$AK$55&gt;$AI23))
) / 1000</f>
        <v>0</v>
      </c>
      <c r="BQ23" s="50">
        <f t="shared" si="21"/>
        <v>20</v>
      </c>
      <c r="BR23" s="46">
        <f t="shared" si="22"/>
        <v>33</v>
      </c>
      <c r="BS23" s="49">
        <f t="shared" si="23"/>
        <v>4.8487499999999999</v>
      </c>
      <c r="BT23" s="49" cm="1">
        <f t="array" ref="BT23">$BC23 * IF($AD23&lt;=2,
SUMPRODUCT(INDEX($AL$51:$AN$55,,$AE23), INDEX($AO$51:$AU$55,,$AD23), 1 / ($AV$51:$AV$55*BS23 + (1-$AV$51:$AV$55)*BO23), N($AK$51:$AK$55&gt;$AI23)),
SUMPRODUCT(INDEX($AL$36:$AN$45,,$AE23), INDEX($AO$36:$AU$45,,$AD23), 1 / ($AW$36:$AW$45*BS23 + (1-$AW$36:$AW$45)*BO23), N($AK$36:$AK$45&gt;$AI23))
) / 1000</f>
        <v>0</v>
      </c>
      <c r="BU23" s="49" cm="1">
        <f t="array" ref="BU23">$BC23 * IF($AD23&lt;=2,
SUMPRODUCT(INDEX($AL$12:$AN$50,,$AE23), INDEX($AO$12:$AU$50,,$AD23), 1 / ($AV$12:$AV$50*BS23), N($AK$12:$AK$50&gt;$AI23)),
SUMPRODUCT(INDEX($AL$12:$AN$35,,$AE23), INDEX($AO$12:$AU$35,,$AD23), 1 / ($AW$12:$AW$35*BS23), N($AK$12:$AK$35&gt;$AI23))
) / 1000</f>
        <v>0</v>
      </c>
      <c r="BV23" s="46">
        <f t="shared" si="24"/>
        <v>0</v>
      </c>
      <c r="BW23" s="20"/>
      <c r="BX23" s="46">
        <f t="shared" si="25"/>
        <v>0</v>
      </c>
      <c r="BY23" s="41">
        <v>35</v>
      </c>
      <c r="BZ23" s="46">
        <f t="shared" si="26"/>
        <v>48</v>
      </c>
      <c r="CA23" s="49">
        <f t="shared" si="27"/>
        <v>3.0748170731707316</v>
      </c>
      <c r="CB23" s="49" cm="1">
        <f t="array" ref="CB23">$BC23 * SUMPRODUCT(INDEX($AL$66:$AN$71,,$AE23),INDEX($AO$66:$AU$71,,$AD23), N($AK$66:$AK$71&gt;$AI23)) / CA23 / 1000</f>
        <v>0</v>
      </c>
      <c r="CC23" s="50">
        <f t="shared" si="28"/>
        <v>30</v>
      </c>
      <c r="CD23" s="46">
        <f t="shared" si="29"/>
        <v>43</v>
      </c>
      <c r="CE23" s="49">
        <f t="shared" si="30"/>
        <v>3.5018750000000001</v>
      </c>
      <c r="CF23" s="49" cm="1">
        <f t="array" ref="CF23">$BC23 * IF($AD23&lt;=2,
SUMPRODUCT(INDEX($AL$61:$AN$65,,$AE23), INDEX($AO$61:$AU$65,,$AD23), 1 / ($AV$61:$AV$65*CE23 + (1-$AV$61:$AV$65)*CA23), N($AK$61:$AK$65&gt;$AI23)),
SUMPRODUCT(INDEX($AL$56:$AN$65,,$AE23), INDEX($AO$56:$AU$65,,$AD23), 1 / ($AW$56:$AW$65*CE23 + (1-$AW$56:$AW$65)*CA23), N($AK$56:$AK$65&gt;$AI23))
) / 1000</f>
        <v>0</v>
      </c>
      <c r="CG23" s="50">
        <f t="shared" si="31"/>
        <v>25</v>
      </c>
      <c r="CH23" s="46">
        <f t="shared" si="32"/>
        <v>38</v>
      </c>
      <c r="CI23" s="49">
        <f t="shared" si="33"/>
        <v>4.0666935483870965</v>
      </c>
      <c r="CJ23" s="49" cm="1">
        <f t="array" ref="CJ23">$BC23 * IF($AD23&lt;=2,
SUMPRODUCT(INDEX($AL$56:$AN$60,,$AE23), INDEX($AO$56:$AU$60,,$AD23), 1 / ($AV$56:$AV$60*CI23 + (1-$AV$56:$AV$60)*CE23), N($AK$56:$AK$60&gt;$AI23)),
SUMPRODUCT(INDEX($AL$46:$AN$55,,$AE23), INDEX($AO$46:$AU$55,,$AD23), 1 / ($AW$46:$AW$55*CI23 + (1-$AW$46:$AW$55)*CE23), N($AK$46:$AK$55&gt;$AI23))
) / 1000</f>
        <v>0</v>
      </c>
      <c r="CK23" s="50">
        <f t="shared" si="34"/>
        <v>20</v>
      </c>
      <c r="CL23" s="46">
        <f t="shared" si="35"/>
        <v>33</v>
      </c>
      <c r="CM23" s="49">
        <f t="shared" si="36"/>
        <v>4.8487499999999999</v>
      </c>
      <c r="CN23" s="49" cm="1">
        <f t="array" ref="CN23">$BC23 * IF($AD23&lt;=2,
SUMPRODUCT(INDEX($AL$51:$AN$55,,$AE23), INDEX($AO$51:$AU$55,,$AD23), 1 / ($AV$51:$AV$55*CM23 + (1-$AV$51:$AV$55)*CI23), N($AK$51:$AK$55&gt;$AI23)),
SUMPRODUCT(INDEX($AL$36:$AN$45,,$AE23), INDEX($AO$36:$AU$45,,$AD23), 1 / ($AW$36:$AW$45*CM23 + (1-$AW$36:$AW$45)*CI23), N($AK$36:$AK$45&gt;$AI23))
) / 1000</f>
        <v>0</v>
      </c>
      <c r="CO23" s="49" cm="1">
        <f t="array" ref="CO23">$BC23 * IF($AD23&lt;=2,
SUMPRODUCT(INDEX($AL$12:$AN$50,,$AE23), INDEX($AO$12:$AU$50,,$AD23), 1 / ($AV$12:$AV$50*CM23), N($AK$12:$AK$50&gt;$AI23)),
SUMPRODUCT(INDEX($AL$12:$AN$35,,$AE23), INDEX($AO$12:$AU$35,,$AD23), 1 / ($AW$12:$AW$35*CM23), N($AK$12:$AK$35&gt;$AI23))
) / 1000</f>
        <v>0</v>
      </c>
      <c r="CP23" s="46">
        <f t="shared" si="37"/>
        <v>0</v>
      </c>
      <c r="CQ23" s="20"/>
    </row>
    <row r="24" spans="1:95" s="95" customFormat="1" ht="14.25" customHeight="1" x14ac:dyDescent="0.25">
      <c r="A24" s="36" t="b">
        <f t="shared" si="0"/>
        <v>0</v>
      </c>
      <c r="B24" s="94">
        <v>13</v>
      </c>
      <c r="C24" s="7"/>
      <c r="D24" s="7"/>
      <c r="E24" s="33"/>
      <c r="F24" s="8" t="str">
        <f>IF(ISBLANK(E24), "", VLOOKUP(E24, Z!$A$2:$C$4127, 3, FALSE))</f>
        <v/>
      </c>
      <c r="G24" s="44"/>
      <c r="H24" s="44"/>
      <c r="I24" s="107"/>
      <c r="J24" s="108"/>
      <c r="K24" s="34"/>
      <c r="L24" s="59"/>
      <c r="M24" s="58" t="str" cm="1">
        <f t="array" ref="M24">IF($K24&gt;0, INDEX(Clean,1+AG24,$B$1), "")</f>
        <v/>
      </c>
      <c r="N24" s="62"/>
      <c r="O24" s="62"/>
      <c r="P24" s="63"/>
      <c r="Q24" s="52">
        <f t="shared" si="7"/>
        <v>0</v>
      </c>
      <c r="R24" s="58" t="str" cm="1">
        <f t="array" ref="R24">IF($K24&gt;0, INDEX(Clean,1+AH24,$B$1), "")</f>
        <v/>
      </c>
      <c r="S24" s="62"/>
      <c r="T24" s="62"/>
      <c r="U24" s="63"/>
      <c r="V24" s="52">
        <f t="shared" si="8"/>
        <v>0</v>
      </c>
      <c r="W24" s="6"/>
      <c r="X24" s="7"/>
      <c r="Y24" s="33"/>
      <c r="Z24" s="8" t="str">
        <f>IF(ISBLANK(Y24), "", VLOOKUP(Y24, Z!$A$2:$C$4127, 3, FALSE))</f>
        <v/>
      </c>
      <c r="AA24" s="38"/>
      <c r="AB24" s="9">
        <f t="shared" si="1"/>
        <v>0</v>
      </c>
      <c r="AC24" s="20"/>
      <c r="AD24" s="41">
        <f t="shared" si="2"/>
        <v>1</v>
      </c>
      <c r="AE24" s="41">
        <f t="shared" si="3"/>
        <v>1</v>
      </c>
      <c r="AF24" s="41">
        <f t="shared" si="4"/>
        <v>0</v>
      </c>
      <c r="AG24" s="41">
        <v>1</v>
      </c>
      <c r="AH24" s="41">
        <v>0</v>
      </c>
      <c r="AI24" s="41">
        <f t="shared" si="5"/>
        <v>-100</v>
      </c>
      <c r="AJ24" s="20"/>
      <c r="AK24" s="41">
        <v>-7</v>
      </c>
      <c r="AL24" s="50">
        <v>0</v>
      </c>
      <c r="AM24" s="50">
        <v>3</v>
      </c>
      <c r="AN24" s="50">
        <v>68</v>
      </c>
      <c r="AO24" s="48">
        <f t="shared" si="6"/>
        <v>0</v>
      </c>
      <c r="AP24" s="48">
        <f t="shared" si="6"/>
        <v>0</v>
      </c>
      <c r="AQ24" s="48" cm="1">
        <f t="array" ref="AQ24">MIN(INDEX(Use,AQ$10,5) + MAX(0, (1-INDEX(Use,AQ$10,5))*($AK24-5)/(35-5)), 1)</f>
        <v>0.4</v>
      </c>
      <c r="AR24" s="48" cm="1">
        <f t="array" ref="AR24">MIN(INDEX(Use,AR$10,5) + MAX(0, (1-INDEX(Use,AR$10,5))*($AK24-5)/(35-5)), 1)</f>
        <v>0.6</v>
      </c>
      <c r="AS24" s="48" cm="1">
        <f t="array" ref="AS24">MIN(INDEX(Use,AS$10,5) + MAX(0, (1-INDEX(Use,AS$10,5))*($AK24-5)/(35-5)), 1)</f>
        <v>0.8</v>
      </c>
      <c r="AT24" s="48" cm="1">
        <f t="array" ref="AT24">MIN(INDEX(Use,AT$10,5) + MAX(0, (1-INDEX(Use,AT$10,5))*($AK24-5)/(35-5)), 1)</f>
        <v>0.8</v>
      </c>
      <c r="AU24" s="48" cm="1">
        <f t="array" ref="AU24">MIN(INDEX(Use,AU$10,5) + MAX(0, (1-INDEX(Use,AU$10,5))*($AK24-5)/(35-5)), 1)</f>
        <v>0.8</v>
      </c>
      <c r="AV24" s="48">
        <v>1</v>
      </c>
      <c r="AW24" s="48">
        <v>1</v>
      </c>
      <c r="AX24" s="15"/>
      <c r="AY24" s="41" cm="1">
        <f t="array" ref="AY24">INDEX(Use, $AD24, 4)</f>
        <v>7</v>
      </c>
      <c r="AZ24" s="41">
        <f t="shared" si="9"/>
        <v>32</v>
      </c>
      <c r="BA24" s="41">
        <f t="shared" si="10"/>
        <v>13</v>
      </c>
      <c r="BB24" s="41">
        <f t="shared" si="11"/>
        <v>0</v>
      </c>
      <c r="BC24" s="57" cm="1">
        <f t="array" ref="BC24">K24/IF($L24&gt;0, INDEX($AO$12:$AU$66, $L24+20, $AD24), 1)</f>
        <v>0</v>
      </c>
      <c r="BD24" s="46">
        <f t="shared" si="12"/>
        <v>0</v>
      </c>
      <c r="BE24" s="41">
        <v>35</v>
      </c>
      <c r="BF24" s="46">
        <f t="shared" si="13"/>
        <v>52.55</v>
      </c>
      <c r="BG24" s="49">
        <f t="shared" si="14"/>
        <v>2.7676728869374316</v>
      </c>
      <c r="BH24" s="49" cm="1">
        <f t="array" ref="BH24">$BC24 * SUMPRODUCT(INDEX($AL$66:$AN$71,,$AE24),INDEX($AO$66:$AU$71,,$AD24), N($AK$66:$AK$71&gt;$AI24)) / BG24 / 1000</f>
        <v>0</v>
      </c>
      <c r="BI24" s="50">
        <f t="shared" si="15"/>
        <v>30</v>
      </c>
      <c r="BJ24" s="46">
        <f t="shared" si="16"/>
        <v>46.033333333333331</v>
      </c>
      <c r="BK24" s="49">
        <f t="shared" si="17"/>
        <v>3.2297395388556791</v>
      </c>
      <c r="BL24" s="49" cm="1">
        <f t="array" ref="BL24">$BC24 * IF($AD24&lt;=2,
SUMPRODUCT(INDEX($AL$61:$AN$65,,$AE24), INDEX($AO$61:$AU$65,,$AD24), 1 / ($AV$61:$AV$65*BK24 + (1-$AV$61:$AV$65)*BG24), N($AK$61:$AK$65&gt;$AI24)),
SUMPRODUCT(INDEX($AL$56:$AN$65,,$AE24), INDEX($AO$56:$AU$65,,$AD24), 1 / ($AW$56:$AW$65*BK24 + (1-$AW$56:$AW$65)*BG24), N($AK$56:$AK$65&gt;$AI24))
) / 1000</f>
        <v>0</v>
      </c>
      <c r="BM24" s="50">
        <f t="shared" si="18"/>
        <v>25</v>
      </c>
      <c r="BN24" s="46">
        <f t="shared" si="19"/>
        <v>39.516666666666666</v>
      </c>
      <c r="BO24" s="49">
        <f t="shared" si="20"/>
        <v>3.877011788826243</v>
      </c>
      <c r="BP24" s="49" cm="1">
        <f t="array" ref="BP24">$BC24 * IF($AD24&lt;=2,
SUMPRODUCT(INDEX($AL$56:$AN$60,,$AE24), INDEX($AO$56:$AU$60,,$AD24), 1 / ($AV$56:$AV$60*BO24 + (1-$AV$56:$AV$60)*BK24), N($AK$56:$AK$60&gt;$AI24)),
SUMPRODUCT(INDEX($AL$46:$AN$55,,$AE24), INDEX($AO$46:$AU$55,,$AD24), 1 / ($AW$46:$AW$55*BO24 + (1-$AW$46:$AW$55)*BK24), N($AK$46:$AK$55&gt;$AI24))
) / 1000</f>
        <v>0</v>
      </c>
      <c r="BQ24" s="50">
        <f t="shared" si="21"/>
        <v>20</v>
      </c>
      <c r="BR24" s="46">
        <f t="shared" si="22"/>
        <v>33</v>
      </c>
      <c r="BS24" s="49">
        <f t="shared" si="23"/>
        <v>4.8487499999999999</v>
      </c>
      <c r="BT24" s="49" cm="1">
        <f t="array" ref="BT24">$BC24 * IF($AD24&lt;=2,
SUMPRODUCT(INDEX($AL$51:$AN$55,,$AE24), INDEX($AO$51:$AU$55,,$AD24), 1 / ($AV$51:$AV$55*BS24 + (1-$AV$51:$AV$55)*BO24), N($AK$51:$AK$55&gt;$AI24)),
SUMPRODUCT(INDEX($AL$36:$AN$45,,$AE24), INDEX($AO$36:$AU$45,,$AD24), 1 / ($AW$36:$AW$45*BS24 + (1-$AW$36:$AW$45)*BO24), N($AK$36:$AK$45&gt;$AI24))
) / 1000</f>
        <v>0</v>
      </c>
      <c r="BU24" s="49" cm="1">
        <f t="array" ref="BU24">$BC24 * IF($AD24&lt;=2,
SUMPRODUCT(INDEX($AL$12:$AN$50,,$AE24), INDEX($AO$12:$AU$50,,$AD24), 1 / ($AV$12:$AV$50*BS24), N($AK$12:$AK$50&gt;$AI24)),
SUMPRODUCT(INDEX($AL$12:$AN$35,,$AE24), INDEX($AO$12:$AU$35,,$AD24), 1 / ($AW$12:$AW$35*BS24), N($AK$12:$AK$35&gt;$AI24))
) / 1000</f>
        <v>0</v>
      </c>
      <c r="BV24" s="46">
        <f t="shared" si="24"/>
        <v>0</v>
      </c>
      <c r="BW24" s="20"/>
      <c r="BX24" s="46">
        <f t="shared" si="25"/>
        <v>0</v>
      </c>
      <c r="BY24" s="41">
        <v>35</v>
      </c>
      <c r="BZ24" s="46">
        <f t="shared" si="26"/>
        <v>48</v>
      </c>
      <c r="CA24" s="49">
        <f t="shared" si="27"/>
        <v>3.0748170731707316</v>
      </c>
      <c r="CB24" s="49" cm="1">
        <f t="array" ref="CB24">$BC24 * SUMPRODUCT(INDEX($AL$66:$AN$71,,$AE24),INDEX($AO$66:$AU$71,,$AD24), N($AK$66:$AK$71&gt;$AI24)) / CA24 / 1000</f>
        <v>0</v>
      </c>
      <c r="CC24" s="50">
        <f t="shared" si="28"/>
        <v>30</v>
      </c>
      <c r="CD24" s="46">
        <f t="shared" si="29"/>
        <v>43</v>
      </c>
      <c r="CE24" s="49">
        <f t="shared" si="30"/>
        <v>3.5018750000000001</v>
      </c>
      <c r="CF24" s="49" cm="1">
        <f t="array" ref="CF24">$BC24 * IF($AD24&lt;=2,
SUMPRODUCT(INDEX($AL$61:$AN$65,,$AE24), INDEX($AO$61:$AU$65,,$AD24), 1 / ($AV$61:$AV$65*CE24 + (1-$AV$61:$AV$65)*CA24), N($AK$61:$AK$65&gt;$AI24)),
SUMPRODUCT(INDEX($AL$56:$AN$65,,$AE24), INDEX($AO$56:$AU$65,,$AD24), 1 / ($AW$56:$AW$65*CE24 + (1-$AW$56:$AW$65)*CA24), N($AK$56:$AK$65&gt;$AI24))
) / 1000</f>
        <v>0</v>
      </c>
      <c r="CG24" s="50">
        <f t="shared" si="31"/>
        <v>25</v>
      </c>
      <c r="CH24" s="46">
        <f t="shared" si="32"/>
        <v>38</v>
      </c>
      <c r="CI24" s="49">
        <f t="shared" si="33"/>
        <v>4.0666935483870965</v>
      </c>
      <c r="CJ24" s="49" cm="1">
        <f t="array" ref="CJ24">$BC24 * IF($AD24&lt;=2,
SUMPRODUCT(INDEX($AL$56:$AN$60,,$AE24), INDEX($AO$56:$AU$60,,$AD24), 1 / ($AV$56:$AV$60*CI24 + (1-$AV$56:$AV$60)*CE24), N($AK$56:$AK$60&gt;$AI24)),
SUMPRODUCT(INDEX($AL$46:$AN$55,,$AE24), INDEX($AO$46:$AU$55,,$AD24), 1 / ($AW$46:$AW$55*CI24 + (1-$AW$46:$AW$55)*CE24), N($AK$46:$AK$55&gt;$AI24))
) / 1000</f>
        <v>0</v>
      </c>
      <c r="CK24" s="50">
        <f t="shared" si="34"/>
        <v>20</v>
      </c>
      <c r="CL24" s="46">
        <f t="shared" si="35"/>
        <v>33</v>
      </c>
      <c r="CM24" s="49">
        <f t="shared" si="36"/>
        <v>4.8487499999999999</v>
      </c>
      <c r="CN24" s="49" cm="1">
        <f t="array" ref="CN24">$BC24 * IF($AD24&lt;=2,
SUMPRODUCT(INDEX($AL$51:$AN$55,,$AE24), INDEX($AO$51:$AU$55,,$AD24), 1 / ($AV$51:$AV$55*CM24 + (1-$AV$51:$AV$55)*CI24), N($AK$51:$AK$55&gt;$AI24)),
SUMPRODUCT(INDEX($AL$36:$AN$45,,$AE24), INDEX($AO$36:$AU$45,,$AD24), 1 / ($AW$36:$AW$45*CM24 + (1-$AW$36:$AW$45)*CI24), N($AK$36:$AK$45&gt;$AI24))
) / 1000</f>
        <v>0</v>
      </c>
      <c r="CO24" s="49" cm="1">
        <f t="array" ref="CO24">$BC24 * IF($AD24&lt;=2,
SUMPRODUCT(INDEX($AL$12:$AN$50,,$AE24), INDEX($AO$12:$AU$50,,$AD24), 1 / ($AV$12:$AV$50*CM24), N($AK$12:$AK$50&gt;$AI24)),
SUMPRODUCT(INDEX($AL$12:$AN$35,,$AE24), INDEX($AO$12:$AU$35,,$AD24), 1 / ($AW$12:$AW$35*CM24), N($AK$12:$AK$35&gt;$AI24))
) / 1000</f>
        <v>0</v>
      </c>
      <c r="CP24" s="46">
        <f t="shared" si="37"/>
        <v>0</v>
      </c>
      <c r="CQ24" s="20"/>
    </row>
    <row r="25" spans="1:95" s="95" customFormat="1" ht="14.25" customHeight="1" x14ac:dyDescent="0.25">
      <c r="A25" s="36" t="b">
        <f t="shared" si="0"/>
        <v>0</v>
      </c>
      <c r="B25" s="94">
        <v>14</v>
      </c>
      <c r="C25" s="7"/>
      <c r="D25" s="7"/>
      <c r="E25" s="33"/>
      <c r="F25" s="8" t="str">
        <f>IF(ISBLANK(E25), "", VLOOKUP(E25, Z!$A$2:$C$4127, 3, FALSE))</f>
        <v/>
      </c>
      <c r="G25" s="44"/>
      <c r="H25" s="44"/>
      <c r="I25" s="107"/>
      <c r="J25" s="108"/>
      <c r="K25" s="34"/>
      <c r="L25" s="59"/>
      <c r="M25" s="58" t="str" cm="1">
        <f t="array" ref="M25">IF($K25&gt;0, INDEX(Clean,1+AG25,$B$1), "")</f>
        <v/>
      </c>
      <c r="N25" s="62"/>
      <c r="O25" s="62"/>
      <c r="P25" s="63"/>
      <c r="Q25" s="52">
        <f t="shared" si="7"/>
        <v>0</v>
      </c>
      <c r="R25" s="58" t="str" cm="1">
        <f t="array" ref="R25">IF($K25&gt;0, INDEX(Clean,1+AH25,$B$1), "")</f>
        <v/>
      </c>
      <c r="S25" s="62"/>
      <c r="T25" s="62"/>
      <c r="U25" s="63"/>
      <c r="V25" s="52">
        <f t="shared" si="8"/>
        <v>0</v>
      </c>
      <c r="W25" s="6"/>
      <c r="X25" s="7"/>
      <c r="Y25" s="33"/>
      <c r="Z25" s="8" t="str">
        <f>IF(ISBLANK(Y25), "", VLOOKUP(Y25, Z!$A$2:$C$4127, 3, FALSE))</f>
        <v/>
      </c>
      <c r="AA25" s="38"/>
      <c r="AB25" s="9">
        <f t="shared" si="1"/>
        <v>0</v>
      </c>
      <c r="AC25" s="20"/>
      <c r="AD25" s="41">
        <f t="shared" si="2"/>
        <v>1</v>
      </c>
      <c r="AE25" s="41">
        <f t="shared" si="3"/>
        <v>1</v>
      </c>
      <c r="AF25" s="41">
        <f t="shared" si="4"/>
        <v>0</v>
      </c>
      <c r="AG25" s="41">
        <v>1</v>
      </c>
      <c r="AH25" s="41">
        <v>0</v>
      </c>
      <c r="AI25" s="41">
        <f t="shared" si="5"/>
        <v>-100</v>
      </c>
      <c r="AJ25" s="20"/>
      <c r="AK25" s="41">
        <v>-6</v>
      </c>
      <c r="AL25" s="50">
        <v>0</v>
      </c>
      <c r="AM25" s="50">
        <v>13</v>
      </c>
      <c r="AN25" s="50">
        <v>45</v>
      </c>
      <c r="AO25" s="48">
        <f t="shared" si="6"/>
        <v>0</v>
      </c>
      <c r="AP25" s="48">
        <f t="shared" si="6"/>
        <v>0</v>
      </c>
      <c r="AQ25" s="48" cm="1">
        <f t="array" ref="AQ25">MIN(INDEX(Use,AQ$10,5) + MAX(0, (1-INDEX(Use,AQ$10,5))*($AK25-5)/(35-5)), 1)</f>
        <v>0.4</v>
      </c>
      <c r="AR25" s="48" cm="1">
        <f t="array" ref="AR25">MIN(INDEX(Use,AR$10,5) + MAX(0, (1-INDEX(Use,AR$10,5))*($AK25-5)/(35-5)), 1)</f>
        <v>0.6</v>
      </c>
      <c r="AS25" s="48" cm="1">
        <f t="array" ref="AS25">MIN(INDEX(Use,AS$10,5) + MAX(0, (1-INDEX(Use,AS$10,5))*($AK25-5)/(35-5)), 1)</f>
        <v>0.8</v>
      </c>
      <c r="AT25" s="48" cm="1">
        <f t="array" ref="AT25">MIN(INDEX(Use,AT$10,5) + MAX(0, (1-INDEX(Use,AT$10,5))*($AK25-5)/(35-5)), 1)</f>
        <v>0.8</v>
      </c>
      <c r="AU25" s="48" cm="1">
        <f t="array" ref="AU25">MIN(INDEX(Use,AU$10,5) + MAX(0, (1-INDEX(Use,AU$10,5))*($AK25-5)/(35-5)), 1)</f>
        <v>0.8</v>
      </c>
      <c r="AV25" s="48">
        <v>1</v>
      </c>
      <c r="AW25" s="48">
        <v>1</v>
      </c>
      <c r="AX25" s="15"/>
      <c r="AY25" s="41" cm="1">
        <f t="array" ref="AY25">INDEX(Use, $AD25, 4)</f>
        <v>7</v>
      </c>
      <c r="AZ25" s="41">
        <f t="shared" si="9"/>
        <v>32</v>
      </c>
      <c r="BA25" s="41">
        <f t="shared" si="10"/>
        <v>13</v>
      </c>
      <c r="BB25" s="41">
        <f t="shared" si="11"/>
        <v>0</v>
      </c>
      <c r="BC25" s="57" cm="1">
        <f t="array" ref="BC25">K25/IF($L25&gt;0, INDEX($AO$12:$AU$66, $L25+20, $AD25), 1)</f>
        <v>0</v>
      </c>
      <c r="BD25" s="46">
        <f t="shared" si="12"/>
        <v>0</v>
      </c>
      <c r="BE25" s="41">
        <v>35</v>
      </c>
      <c r="BF25" s="46">
        <f t="shared" si="13"/>
        <v>52.55</v>
      </c>
      <c r="BG25" s="49">
        <f t="shared" si="14"/>
        <v>2.7676728869374316</v>
      </c>
      <c r="BH25" s="49" cm="1">
        <f t="array" ref="BH25">$BC25 * SUMPRODUCT(INDEX($AL$66:$AN$71,,$AE25),INDEX($AO$66:$AU$71,,$AD25), N($AK$66:$AK$71&gt;$AI25)) / BG25 / 1000</f>
        <v>0</v>
      </c>
      <c r="BI25" s="50">
        <f t="shared" si="15"/>
        <v>30</v>
      </c>
      <c r="BJ25" s="46">
        <f t="shared" si="16"/>
        <v>46.033333333333331</v>
      </c>
      <c r="BK25" s="49">
        <f t="shared" si="17"/>
        <v>3.2297395388556791</v>
      </c>
      <c r="BL25" s="49" cm="1">
        <f t="array" ref="BL25">$BC25 * IF($AD25&lt;=2,
SUMPRODUCT(INDEX($AL$61:$AN$65,,$AE25), INDEX($AO$61:$AU$65,,$AD25), 1 / ($AV$61:$AV$65*BK25 + (1-$AV$61:$AV$65)*BG25), N($AK$61:$AK$65&gt;$AI25)),
SUMPRODUCT(INDEX($AL$56:$AN$65,,$AE25), INDEX($AO$56:$AU$65,,$AD25), 1 / ($AW$56:$AW$65*BK25 + (1-$AW$56:$AW$65)*BG25), N($AK$56:$AK$65&gt;$AI25))
) / 1000</f>
        <v>0</v>
      </c>
      <c r="BM25" s="50">
        <f t="shared" si="18"/>
        <v>25</v>
      </c>
      <c r="BN25" s="46">
        <f t="shared" si="19"/>
        <v>39.516666666666666</v>
      </c>
      <c r="BO25" s="49">
        <f t="shared" si="20"/>
        <v>3.877011788826243</v>
      </c>
      <c r="BP25" s="49" cm="1">
        <f t="array" ref="BP25">$BC25 * IF($AD25&lt;=2,
SUMPRODUCT(INDEX($AL$56:$AN$60,,$AE25), INDEX($AO$56:$AU$60,,$AD25), 1 / ($AV$56:$AV$60*BO25 + (1-$AV$56:$AV$60)*BK25), N($AK$56:$AK$60&gt;$AI25)),
SUMPRODUCT(INDEX($AL$46:$AN$55,,$AE25), INDEX($AO$46:$AU$55,,$AD25), 1 / ($AW$46:$AW$55*BO25 + (1-$AW$46:$AW$55)*BK25), N($AK$46:$AK$55&gt;$AI25))
) / 1000</f>
        <v>0</v>
      </c>
      <c r="BQ25" s="50">
        <f t="shared" si="21"/>
        <v>20</v>
      </c>
      <c r="BR25" s="46">
        <f t="shared" si="22"/>
        <v>33</v>
      </c>
      <c r="BS25" s="49">
        <f t="shared" si="23"/>
        <v>4.8487499999999999</v>
      </c>
      <c r="BT25" s="49" cm="1">
        <f t="array" ref="BT25">$BC25 * IF($AD25&lt;=2,
SUMPRODUCT(INDEX($AL$51:$AN$55,,$AE25), INDEX($AO$51:$AU$55,,$AD25), 1 / ($AV$51:$AV$55*BS25 + (1-$AV$51:$AV$55)*BO25), N($AK$51:$AK$55&gt;$AI25)),
SUMPRODUCT(INDEX($AL$36:$AN$45,,$AE25), INDEX($AO$36:$AU$45,,$AD25), 1 / ($AW$36:$AW$45*BS25 + (1-$AW$36:$AW$45)*BO25), N($AK$36:$AK$45&gt;$AI25))
) / 1000</f>
        <v>0</v>
      </c>
      <c r="BU25" s="49" cm="1">
        <f t="array" ref="BU25">$BC25 * IF($AD25&lt;=2,
SUMPRODUCT(INDEX($AL$12:$AN$50,,$AE25), INDEX($AO$12:$AU$50,,$AD25), 1 / ($AV$12:$AV$50*BS25), N($AK$12:$AK$50&gt;$AI25)),
SUMPRODUCT(INDEX($AL$12:$AN$35,,$AE25), INDEX($AO$12:$AU$35,,$AD25), 1 / ($AW$12:$AW$35*BS25), N($AK$12:$AK$35&gt;$AI25))
) / 1000</f>
        <v>0</v>
      </c>
      <c r="BV25" s="46">
        <f t="shared" si="24"/>
        <v>0</v>
      </c>
      <c r="BW25" s="20"/>
      <c r="BX25" s="46">
        <f t="shared" si="25"/>
        <v>0</v>
      </c>
      <c r="BY25" s="41">
        <v>35</v>
      </c>
      <c r="BZ25" s="46">
        <f t="shared" si="26"/>
        <v>48</v>
      </c>
      <c r="CA25" s="49">
        <f t="shared" si="27"/>
        <v>3.0748170731707316</v>
      </c>
      <c r="CB25" s="49" cm="1">
        <f t="array" ref="CB25">$BC25 * SUMPRODUCT(INDEX($AL$66:$AN$71,,$AE25),INDEX($AO$66:$AU$71,,$AD25), N($AK$66:$AK$71&gt;$AI25)) / CA25 / 1000</f>
        <v>0</v>
      </c>
      <c r="CC25" s="50">
        <f t="shared" si="28"/>
        <v>30</v>
      </c>
      <c r="CD25" s="46">
        <f t="shared" si="29"/>
        <v>43</v>
      </c>
      <c r="CE25" s="49">
        <f t="shared" si="30"/>
        <v>3.5018750000000001</v>
      </c>
      <c r="CF25" s="49" cm="1">
        <f t="array" ref="CF25">$BC25 * IF($AD25&lt;=2,
SUMPRODUCT(INDEX($AL$61:$AN$65,,$AE25), INDEX($AO$61:$AU$65,,$AD25), 1 / ($AV$61:$AV$65*CE25 + (1-$AV$61:$AV$65)*CA25), N($AK$61:$AK$65&gt;$AI25)),
SUMPRODUCT(INDEX($AL$56:$AN$65,,$AE25), INDEX($AO$56:$AU$65,,$AD25), 1 / ($AW$56:$AW$65*CE25 + (1-$AW$56:$AW$65)*CA25), N($AK$56:$AK$65&gt;$AI25))
) / 1000</f>
        <v>0</v>
      </c>
      <c r="CG25" s="50">
        <f t="shared" si="31"/>
        <v>25</v>
      </c>
      <c r="CH25" s="46">
        <f t="shared" si="32"/>
        <v>38</v>
      </c>
      <c r="CI25" s="49">
        <f t="shared" si="33"/>
        <v>4.0666935483870965</v>
      </c>
      <c r="CJ25" s="49" cm="1">
        <f t="array" ref="CJ25">$BC25 * IF($AD25&lt;=2,
SUMPRODUCT(INDEX($AL$56:$AN$60,,$AE25), INDEX($AO$56:$AU$60,,$AD25), 1 / ($AV$56:$AV$60*CI25 + (1-$AV$56:$AV$60)*CE25), N($AK$56:$AK$60&gt;$AI25)),
SUMPRODUCT(INDEX($AL$46:$AN$55,,$AE25), INDEX($AO$46:$AU$55,,$AD25), 1 / ($AW$46:$AW$55*CI25 + (1-$AW$46:$AW$55)*CE25), N($AK$46:$AK$55&gt;$AI25))
) / 1000</f>
        <v>0</v>
      </c>
      <c r="CK25" s="50">
        <f t="shared" si="34"/>
        <v>20</v>
      </c>
      <c r="CL25" s="46">
        <f t="shared" si="35"/>
        <v>33</v>
      </c>
      <c r="CM25" s="49">
        <f t="shared" si="36"/>
        <v>4.8487499999999999</v>
      </c>
      <c r="CN25" s="49" cm="1">
        <f t="array" ref="CN25">$BC25 * IF($AD25&lt;=2,
SUMPRODUCT(INDEX($AL$51:$AN$55,,$AE25), INDEX($AO$51:$AU$55,,$AD25), 1 / ($AV$51:$AV$55*CM25 + (1-$AV$51:$AV$55)*CI25), N($AK$51:$AK$55&gt;$AI25)),
SUMPRODUCT(INDEX($AL$36:$AN$45,,$AE25), INDEX($AO$36:$AU$45,,$AD25), 1 / ($AW$36:$AW$45*CM25 + (1-$AW$36:$AW$45)*CI25), N($AK$36:$AK$45&gt;$AI25))
) / 1000</f>
        <v>0</v>
      </c>
      <c r="CO25" s="49" cm="1">
        <f t="array" ref="CO25">$BC25 * IF($AD25&lt;=2,
SUMPRODUCT(INDEX($AL$12:$AN$50,,$AE25), INDEX($AO$12:$AU$50,,$AD25), 1 / ($AV$12:$AV$50*CM25), N($AK$12:$AK$50&gt;$AI25)),
SUMPRODUCT(INDEX($AL$12:$AN$35,,$AE25), INDEX($AO$12:$AU$35,,$AD25), 1 / ($AW$12:$AW$35*CM25), N($AK$12:$AK$35&gt;$AI25))
) / 1000</f>
        <v>0</v>
      </c>
      <c r="CP25" s="46">
        <f t="shared" si="37"/>
        <v>0</v>
      </c>
      <c r="CQ25" s="20"/>
    </row>
    <row r="26" spans="1:95" s="95" customFormat="1" ht="14.25" customHeight="1" x14ac:dyDescent="0.25">
      <c r="A26" s="36" t="b">
        <f t="shared" si="0"/>
        <v>0</v>
      </c>
      <c r="B26" s="94">
        <v>15</v>
      </c>
      <c r="C26" s="7"/>
      <c r="D26" s="7"/>
      <c r="E26" s="33"/>
      <c r="F26" s="8" t="str">
        <f>IF(ISBLANK(E26), "", VLOOKUP(E26, Z!$A$2:$C$4127, 3, FALSE))</f>
        <v/>
      </c>
      <c r="G26" s="44"/>
      <c r="H26" s="44"/>
      <c r="I26" s="107"/>
      <c r="J26" s="108"/>
      <c r="K26" s="34"/>
      <c r="L26" s="59"/>
      <c r="M26" s="58" t="str" cm="1">
        <f t="array" ref="M26">IF($K26&gt;0, INDEX(Clean,1+AG26,$B$1), "")</f>
        <v/>
      </c>
      <c r="N26" s="62"/>
      <c r="O26" s="62"/>
      <c r="P26" s="63"/>
      <c r="Q26" s="52">
        <f t="shared" si="7"/>
        <v>0</v>
      </c>
      <c r="R26" s="58" t="str" cm="1">
        <f t="array" ref="R26">IF($K26&gt;0, INDEX(Clean,1+AH26,$B$1), "")</f>
        <v/>
      </c>
      <c r="S26" s="62"/>
      <c r="T26" s="62"/>
      <c r="U26" s="63"/>
      <c r="V26" s="52">
        <f t="shared" si="8"/>
        <v>0</v>
      </c>
      <c r="W26" s="6"/>
      <c r="X26" s="7"/>
      <c r="Y26" s="33"/>
      <c r="Z26" s="8" t="str">
        <f>IF(ISBLANK(Y26), "", VLOOKUP(Y26, Z!$A$2:$C$4127, 3, FALSE))</f>
        <v/>
      </c>
      <c r="AA26" s="38"/>
      <c r="AB26" s="9">
        <f t="shared" si="1"/>
        <v>0</v>
      </c>
      <c r="AC26" s="20"/>
      <c r="AD26" s="41">
        <f t="shared" si="2"/>
        <v>1</v>
      </c>
      <c r="AE26" s="41">
        <f t="shared" si="3"/>
        <v>1</v>
      </c>
      <c r="AF26" s="41">
        <f t="shared" si="4"/>
        <v>0</v>
      </c>
      <c r="AG26" s="41">
        <v>1</v>
      </c>
      <c r="AH26" s="41">
        <v>0</v>
      </c>
      <c r="AI26" s="41">
        <f t="shared" si="5"/>
        <v>-100</v>
      </c>
      <c r="AJ26" s="20"/>
      <c r="AK26" s="41">
        <v>-5</v>
      </c>
      <c r="AL26" s="50">
        <v>0</v>
      </c>
      <c r="AM26" s="50">
        <v>49</v>
      </c>
      <c r="AN26" s="50">
        <v>57</v>
      </c>
      <c r="AO26" s="48">
        <f t="shared" si="6"/>
        <v>0</v>
      </c>
      <c r="AP26" s="48">
        <f t="shared" si="6"/>
        <v>0</v>
      </c>
      <c r="AQ26" s="48" cm="1">
        <f t="array" ref="AQ26">MIN(INDEX(Use,AQ$10,5) + MAX(0, (1-INDEX(Use,AQ$10,5))*($AK26-5)/(35-5)), 1)</f>
        <v>0.4</v>
      </c>
      <c r="AR26" s="48" cm="1">
        <f t="array" ref="AR26">MIN(INDEX(Use,AR$10,5) + MAX(0, (1-INDEX(Use,AR$10,5))*($AK26-5)/(35-5)), 1)</f>
        <v>0.6</v>
      </c>
      <c r="AS26" s="48" cm="1">
        <f t="array" ref="AS26">MIN(INDEX(Use,AS$10,5) + MAX(0, (1-INDEX(Use,AS$10,5))*($AK26-5)/(35-5)), 1)</f>
        <v>0.8</v>
      </c>
      <c r="AT26" s="48" cm="1">
        <f t="array" ref="AT26">MIN(INDEX(Use,AT$10,5) + MAX(0, (1-INDEX(Use,AT$10,5))*($AK26-5)/(35-5)), 1)</f>
        <v>0.8</v>
      </c>
      <c r="AU26" s="48" cm="1">
        <f t="array" ref="AU26">MIN(INDEX(Use,AU$10,5) + MAX(0, (1-INDEX(Use,AU$10,5))*($AK26-5)/(35-5)), 1)</f>
        <v>0.8</v>
      </c>
      <c r="AV26" s="48">
        <v>1</v>
      </c>
      <c r="AW26" s="48">
        <v>1</v>
      </c>
      <c r="AX26" s="15"/>
      <c r="AY26" s="41" cm="1">
        <f t="array" ref="AY26">INDEX(Use, $AD26, 4)</f>
        <v>7</v>
      </c>
      <c r="AZ26" s="41">
        <f t="shared" si="9"/>
        <v>32</v>
      </c>
      <c r="BA26" s="41">
        <f t="shared" si="10"/>
        <v>13</v>
      </c>
      <c r="BB26" s="41">
        <f t="shared" si="11"/>
        <v>0</v>
      </c>
      <c r="BC26" s="57" cm="1">
        <f t="array" ref="BC26">K26/IF($L26&gt;0, INDEX($AO$12:$AU$66, $L26+20, $AD26), 1)</f>
        <v>0</v>
      </c>
      <c r="BD26" s="46">
        <f t="shared" si="12"/>
        <v>0</v>
      </c>
      <c r="BE26" s="41">
        <v>35</v>
      </c>
      <c r="BF26" s="46">
        <f t="shared" si="13"/>
        <v>52.55</v>
      </c>
      <c r="BG26" s="49">
        <f t="shared" si="14"/>
        <v>2.7676728869374316</v>
      </c>
      <c r="BH26" s="49" cm="1">
        <f t="array" ref="BH26">$BC26 * SUMPRODUCT(INDEX($AL$66:$AN$71,,$AE26),INDEX($AO$66:$AU$71,,$AD26), N($AK$66:$AK$71&gt;$AI26)) / BG26 / 1000</f>
        <v>0</v>
      </c>
      <c r="BI26" s="50">
        <f t="shared" si="15"/>
        <v>30</v>
      </c>
      <c r="BJ26" s="46">
        <f t="shared" si="16"/>
        <v>46.033333333333331</v>
      </c>
      <c r="BK26" s="49">
        <f t="shared" si="17"/>
        <v>3.2297395388556791</v>
      </c>
      <c r="BL26" s="49" cm="1">
        <f t="array" ref="BL26">$BC26 * IF($AD26&lt;=2,
SUMPRODUCT(INDEX($AL$61:$AN$65,,$AE26), INDEX($AO$61:$AU$65,,$AD26), 1 / ($AV$61:$AV$65*BK26 + (1-$AV$61:$AV$65)*BG26), N($AK$61:$AK$65&gt;$AI26)),
SUMPRODUCT(INDEX($AL$56:$AN$65,,$AE26), INDEX($AO$56:$AU$65,,$AD26), 1 / ($AW$56:$AW$65*BK26 + (1-$AW$56:$AW$65)*BG26), N($AK$56:$AK$65&gt;$AI26))
) / 1000</f>
        <v>0</v>
      </c>
      <c r="BM26" s="50">
        <f t="shared" si="18"/>
        <v>25</v>
      </c>
      <c r="BN26" s="46">
        <f t="shared" si="19"/>
        <v>39.516666666666666</v>
      </c>
      <c r="BO26" s="49">
        <f t="shared" si="20"/>
        <v>3.877011788826243</v>
      </c>
      <c r="BP26" s="49" cm="1">
        <f t="array" ref="BP26">$BC26 * IF($AD26&lt;=2,
SUMPRODUCT(INDEX($AL$56:$AN$60,,$AE26), INDEX($AO$56:$AU$60,,$AD26), 1 / ($AV$56:$AV$60*BO26 + (1-$AV$56:$AV$60)*BK26), N($AK$56:$AK$60&gt;$AI26)),
SUMPRODUCT(INDEX($AL$46:$AN$55,,$AE26), INDEX($AO$46:$AU$55,,$AD26), 1 / ($AW$46:$AW$55*BO26 + (1-$AW$46:$AW$55)*BK26), N($AK$46:$AK$55&gt;$AI26))
) / 1000</f>
        <v>0</v>
      </c>
      <c r="BQ26" s="50">
        <f t="shared" si="21"/>
        <v>20</v>
      </c>
      <c r="BR26" s="46">
        <f t="shared" si="22"/>
        <v>33</v>
      </c>
      <c r="BS26" s="49">
        <f t="shared" si="23"/>
        <v>4.8487499999999999</v>
      </c>
      <c r="BT26" s="49" cm="1">
        <f t="array" ref="BT26">$BC26 * IF($AD26&lt;=2,
SUMPRODUCT(INDEX($AL$51:$AN$55,,$AE26), INDEX($AO$51:$AU$55,,$AD26), 1 / ($AV$51:$AV$55*BS26 + (1-$AV$51:$AV$55)*BO26), N($AK$51:$AK$55&gt;$AI26)),
SUMPRODUCT(INDEX($AL$36:$AN$45,,$AE26), INDEX($AO$36:$AU$45,,$AD26), 1 / ($AW$36:$AW$45*BS26 + (1-$AW$36:$AW$45)*BO26), N($AK$36:$AK$45&gt;$AI26))
) / 1000</f>
        <v>0</v>
      </c>
      <c r="BU26" s="49" cm="1">
        <f t="array" ref="BU26">$BC26 * IF($AD26&lt;=2,
SUMPRODUCT(INDEX($AL$12:$AN$50,,$AE26), INDEX($AO$12:$AU$50,,$AD26), 1 / ($AV$12:$AV$50*BS26), N($AK$12:$AK$50&gt;$AI26)),
SUMPRODUCT(INDEX($AL$12:$AN$35,,$AE26), INDEX($AO$12:$AU$35,,$AD26), 1 / ($AW$12:$AW$35*BS26), N($AK$12:$AK$35&gt;$AI26))
) / 1000</f>
        <v>0</v>
      </c>
      <c r="BV26" s="46">
        <f t="shared" si="24"/>
        <v>0</v>
      </c>
      <c r="BW26" s="20"/>
      <c r="BX26" s="46">
        <f t="shared" si="25"/>
        <v>0</v>
      </c>
      <c r="BY26" s="41">
        <v>35</v>
      </c>
      <c r="BZ26" s="46">
        <f t="shared" si="26"/>
        <v>48</v>
      </c>
      <c r="CA26" s="49">
        <f t="shared" si="27"/>
        <v>3.0748170731707316</v>
      </c>
      <c r="CB26" s="49" cm="1">
        <f t="array" ref="CB26">$BC26 * SUMPRODUCT(INDEX($AL$66:$AN$71,,$AE26),INDEX($AO$66:$AU$71,,$AD26), N($AK$66:$AK$71&gt;$AI26)) / CA26 / 1000</f>
        <v>0</v>
      </c>
      <c r="CC26" s="50">
        <f t="shared" si="28"/>
        <v>30</v>
      </c>
      <c r="CD26" s="46">
        <f t="shared" si="29"/>
        <v>43</v>
      </c>
      <c r="CE26" s="49">
        <f t="shared" si="30"/>
        <v>3.5018750000000001</v>
      </c>
      <c r="CF26" s="49" cm="1">
        <f t="array" ref="CF26">$BC26 * IF($AD26&lt;=2,
SUMPRODUCT(INDEX($AL$61:$AN$65,,$AE26), INDEX($AO$61:$AU$65,,$AD26), 1 / ($AV$61:$AV$65*CE26 + (1-$AV$61:$AV$65)*CA26), N($AK$61:$AK$65&gt;$AI26)),
SUMPRODUCT(INDEX($AL$56:$AN$65,,$AE26), INDEX($AO$56:$AU$65,,$AD26), 1 / ($AW$56:$AW$65*CE26 + (1-$AW$56:$AW$65)*CA26), N($AK$56:$AK$65&gt;$AI26))
) / 1000</f>
        <v>0</v>
      </c>
      <c r="CG26" s="50">
        <f t="shared" si="31"/>
        <v>25</v>
      </c>
      <c r="CH26" s="46">
        <f t="shared" si="32"/>
        <v>38</v>
      </c>
      <c r="CI26" s="49">
        <f t="shared" si="33"/>
        <v>4.0666935483870965</v>
      </c>
      <c r="CJ26" s="49" cm="1">
        <f t="array" ref="CJ26">$BC26 * IF($AD26&lt;=2,
SUMPRODUCT(INDEX($AL$56:$AN$60,,$AE26), INDEX($AO$56:$AU$60,,$AD26), 1 / ($AV$56:$AV$60*CI26 + (1-$AV$56:$AV$60)*CE26), N($AK$56:$AK$60&gt;$AI26)),
SUMPRODUCT(INDEX($AL$46:$AN$55,,$AE26), INDEX($AO$46:$AU$55,,$AD26), 1 / ($AW$46:$AW$55*CI26 + (1-$AW$46:$AW$55)*CE26), N($AK$46:$AK$55&gt;$AI26))
) / 1000</f>
        <v>0</v>
      </c>
      <c r="CK26" s="50">
        <f t="shared" si="34"/>
        <v>20</v>
      </c>
      <c r="CL26" s="46">
        <f t="shared" si="35"/>
        <v>33</v>
      </c>
      <c r="CM26" s="49">
        <f t="shared" si="36"/>
        <v>4.8487499999999999</v>
      </c>
      <c r="CN26" s="49" cm="1">
        <f t="array" ref="CN26">$BC26 * IF($AD26&lt;=2,
SUMPRODUCT(INDEX($AL$51:$AN$55,,$AE26), INDEX($AO$51:$AU$55,,$AD26), 1 / ($AV$51:$AV$55*CM26 + (1-$AV$51:$AV$55)*CI26), N($AK$51:$AK$55&gt;$AI26)),
SUMPRODUCT(INDEX($AL$36:$AN$45,,$AE26), INDEX($AO$36:$AU$45,,$AD26), 1 / ($AW$36:$AW$45*CM26 + (1-$AW$36:$AW$45)*CI26), N($AK$36:$AK$45&gt;$AI26))
) / 1000</f>
        <v>0</v>
      </c>
      <c r="CO26" s="49" cm="1">
        <f t="array" ref="CO26">$BC26 * IF($AD26&lt;=2,
SUMPRODUCT(INDEX($AL$12:$AN$50,,$AE26), INDEX($AO$12:$AU$50,,$AD26), 1 / ($AV$12:$AV$50*CM26), N($AK$12:$AK$50&gt;$AI26)),
SUMPRODUCT(INDEX($AL$12:$AN$35,,$AE26), INDEX($AO$12:$AU$35,,$AD26), 1 / ($AW$12:$AW$35*CM26), N($AK$12:$AK$35&gt;$AI26))
) / 1000</f>
        <v>0</v>
      </c>
      <c r="CP26" s="46">
        <f t="shared" si="37"/>
        <v>0</v>
      </c>
      <c r="CQ26" s="20"/>
    </row>
    <row r="27" spans="1:95" s="95" customFormat="1" ht="14.25" customHeight="1" x14ac:dyDescent="0.25">
      <c r="A27" s="36" t="b">
        <f t="shared" si="0"/>
        <v>0</v>
      </c>
      <c r="B27" s="94">
        <v>16</v>
      </c>
      <c r="C27" s="7"/>
      <c r="D27" s="7"/>
      <c r="E27" s="33"/>
      <c r="F27" s="8" t="str">
        <f>IF(ISBLANK(E27), "", VLOOKUP(E27, Z!$A$2:$C$4127, 3, FALSE))</f>
        <v/>
      </c>
      <c r="G27" s="44"/>
      <c r="H27" s="44"/>
      <c r="I27" s="107"/>
      <c r="J27" s="108"/>
      <c r="K27" s="34"/>
      <c r="L27" s="59"/>
      <c r="M27" s="58" t="str" cm="1">
        <f t="array" ref="M27">IF($K27&gt;0, INDEX(Clean,1+AG27,$B$1), "")</f>
        <v/>
      </c>
      <c r="N27" s="62"/>
      <c r="O27" s="62"/>
      <c r="P27" s="63"/>
      <c r="Q27" s="52">
        <f t="shared" si="7"/>
        <v>0</v>
      </c>
      <c r="R27" s="58" t="str" cm="1">
        <f t="array" ref="R27">IF($K27&gt;0, INDEX(Clean,1+AH27,$B$1), "")</f>
        <v/>
      </c>
      <c r="S27" s="62"/>
      <c r="T27" s="62"/>
      <c r="U27" s="63"/>
      <c r="V27" s="52">
        <f t="shared" si="8"/>
        <v>0</v>
      </c>
      <c r="W27" s="6"/>
      <c r="X27" s="7"/>
      <c r="Y27" s="33"/>
      <c r="Z27" s="8" t="str">
        <f>IF(ISBLANK(Y27), "", VLOOKUP(Y27, Z!$A$2:$C$4127, 3, FALSE))</f>
        <v/>
      </c>
      <c r="AA27" s="38"/>
      <c r="AB27" s="9">
        <f t="shared" si="1"/>
        <v>0</v>
      </c>
      <c r="AC27" s="20"/>
      <c r="AD27" s="41">
        <f t="shared" si="2"/>
        <v>1</v>
      </c>
      <c r="AE27" s="41">
        <f t="shared" si="3"/>
        <v>1</v>
      </c>
      <c r="AF27" s="41">
        <f t="shared" si="4"/>
        <v>0</v>
      </c>
      <c r="AG27" s="41">
        <v>1</v>
      </c>
      <c r="AH27" s="41">
        <v>0</v>
      </c>
      <c r="AI27" s="41">
        <f t="shared" si="5"/>
        <v>-100</v>
      </c>
      <c r="AJ27" s="20"/>
      <c r="AK27" s="41">
        <v>-4</v>
      </c>
      <c r="AL27" s="50">
        <v>2</v>
      </c>
      <c r="AM27" s="50">
        <v>105</v>
      </c>
      <c r="AN27" s="50">
        <v>56</v>
      </c>
      <c r="AO27" s="48">
        <f t="shared" si="6"/>
        <v>0</v>
      </c>
      <c r="AP27" s="48">
        <f t="shared" si="6"/>
        <v>0</v>
      </c>
      <c r="AQ27" s="48" cm="1">
        <f t="array" ref="AQ27">MIN(INDEX(Use,AQ$10,5) + MAX(0, (1-INDEX(Use,AQ$10,5))*($AK27-5)/(35-5)), 1)</f>
        <v>0.4</v>
      </c>
      <c r="AR27" s="48" cm="1">
        <f t="array" ref="AR27">MIN(INDEX(Use,AR$10,5) + MAX(0, (1-INDEX(Use,AR$10,5))*($AK27-5)/(35-5)), 1)</f>
        <v>0.6</v>
      </c>
      <c r="AS27" s="48" cm="1">
        <f t="array" ref="AS27">MIN(INDEX(Use,AS$10,5) + MAX(0, (1-INDEX(Use,AS$10,5))*($AK27-5)/(35-5)), 1)</f>
        <v>0.8</v>
      </c>
      <c r="AT27" s="48" cm="1">
        <f t="array" ref="AT27">MIN(INDEX(Use,AT$10,5) + MAX(0, (1-INDEX(Use,AT$10,5))*($AK27-5)/(35-5)), 1)</f>
        <v>0.8</v>
      </c>
      <c r="AU27" s="48" cm="1">
        <f t="array" ref="AU27">MIN(INDEX(Use,AU$10,5) + MAX(0, (1-INDEX(Use,AU$10,5))*($AK27-5)/(35-5)), 1)</f>
        <v>0.8</v>
      </c>
      <c r="AV27" s="48">
        <v>1</v>
      </c>
      <c r="AW27" s="48">
        <v>1</v>
      </c>
      <c r="AX27" s="15"/>
      <c r="AY27" s="41" cm="1">
        <f t="array" ref="AY27">INDEX(Use, $AD27, 4)</f>
        <v>7</v>
      </c>
      <c r="AZ27" s="41">
        <f t="shared" si="9"/>
        <v>32</v>
      </c>
      <c r="BA27" s="41">
        <f t="shared" si="10"/>
        <v>13</v>
      </c>
      <c r="BB27" s="41">
        <f t="shared" si="11"/>
        <v>0</v>
      </c>
      <c r="BC27" s="57" cm="1">
        <f t="array" ref="BC27">K27/IF($L27&gt;0, INDEX($AO$12:$AU$66, $L27+20, $AD27), 1)</f>
        <v>0</v>
      </c>
      <c r="BD27" s="46">
        <f t="shared" si="12"/>
        <v>0</v>
      </c>
      <c r="BE27" s="41">
        <v>35</v>
      </c>
      <c r="BF27" s="46">
        <f t="shared" si="13"/>
        <v>52.55</v>
      </c>
      <c r="BG27" s="49">
        <f t="shared" si="14"/>
        <v>2.7676728869374316</v>
      </c>
      <c r="BH27" s="49" cm="1">
        <f t="array" ref="BH27">$BC27 * SUMPRODUCT(INDEX($AL$66:$AN$71,,$AE27),INDEX($AO$66:$AU$71,,$AD27), N($AK$66:$AK$71&gt;$AI27)) / BG27 / 1000</f>
        <v>0</v>
      </c>
      <c r="BI27" s="50">
        <f t="shared" si="15"/>
        <v>30</v>
      </c>
      <c r="BJ27" s="46">
        <f t="shared" si="16"/>
        <v>46.033333333333331</v>
      </c>
      <c r="BK27" s="49">
        <f t="shared" si="17"/>
        <v>3.2297395388556791</v>
      </c>
      <c r="BL27" s="49" cm="1">
        <f t="array" ref="BL27">$BC27 * IF($AD27&lt;=2,
SUMPRODUCT(INDEX($AL$61:$AN$65,,$AE27), INDEX($AO$61:$AU$65,,$AD27), 1 / ($AV$61:$AV$65*BK27 + (1-$AV$61:$AV$65)*BG27), N($AK$61:$AK$65&gt;$AI27)),
SUMPRODUCT(INDEX($AL$56:$AN$65,,$AE27), INDEX($AO$56:$AU$65,,$AD27), 1 / ($AW$56:$AW$65*BK27 + (1-$AW$56:$AW$65)*BG27), N($AK$56:$AK$65&gt;$AI27))
) / 1000</f>
        <v>0</v>
      </c>
      <c r="BM27" s="50">
        <f t="shared" si="18"/>
        <v>25</v>
      </c>
      <c r="BN27" s="46">
        <f t="shared" si="19"/>
        <v>39.516666666666666</v>
      </c>
      <c r="BO27" s="49">
        <f t="shared" si="20"/>
        <v>3.877011788826243</v>
      </c>
      <c r="BP27" s="49" cm="1">
        <f t="array" ref="BP27">$BC27 * IF($AD27&lt;=2,
SUMPRODUCT(INDEX($AL$56:$AN$60,,$AE27), INDEX($AO$56:$AU$60,,$AD27), 1 / ($AV$56:$AV$60*BO27 + (1-$AV$56:$AV$60)*BK27), N($AK$56:$AK$60&gt;$AI27)),
SUMPRODUCT(INDEX($AL$46:$AN$55,,$AE27), INDEX($AO$46:$AU$55,,$AD27), 1 / ($AW$46:$AW$55*BO27 + (1-$AW$46:$AW$55)*BK27), N($AK$46:$AK$55&gt;$AI27))
) / 1000</f>
        <v>0</v>
      </c>
      <c r="BQ27" s="50">
        <f t="shared" si="21"/>
        <v>20</v>
      </c>
      <c r="BR27" s="46">
        <f t="shared" si="22"/>
        <v>33</v>
      </c>
      <c r="BS27" s="49">
        <f t="shared" si="23"/>
        <v>4.8487499999999999</v>
      </c>
      <c r="BT27" s="49" cm="1">
        <f t="array" ref="BT27">$BC27 * IF($AD27&lt;=2,
SUMPRODUCT(INDEX($AL$51:$AN$55,,$AE27), INDEX($AO$51:$AU$55,,$AD27), 1 / ($AV$51:$AV$55*BS27 + (1-$AV$51:$AV$55)*BO27), N($AK$51:$AK$55&gt;$AI27)),
SUMPRODUCT(INDEX($AL$36:$AN$45,,$AE27), INDEX($AO$36:$AU$45,,$AD27), 1 / ($AW$36:$AW$45*BS27 + (1-$AW$36:$AW$45)*BO27), N($AK$36:$AK$45&gt;$AI27))
) / 1000</f>
        <v>0</v>
      </c>
      <c r="BU27" s="49" cm="1">
        <f t="array" ref="BU27">$BC27 * IF($AD27&lt;=2,
SUMPRODUCT(INDEX($AL$12:$AN$50,,$AE27), INDEX($AO$12:$AU$50,,$AD27), 1 / ($AV$12:$AV$50*BS27), N($AK$12:$AK$50&gt;$AI27)),
SUMPRODUCT(INDEX($AL$12:$AN$35,,$AE27), INDEX($AO$12:$AU$35,,$AD27), 1 / ($AW$12:$AW$35*BS27), N($AK$12:$AK$35&gt;$AI27))
) / 1000</f>
        <v>0</v>
      </c>
      <c r="BV27" s="46">
        <f t="shared" si="24"/>
        <v>0</v>
      </c>
      <c r="BW27" s="20"/>
      <c r="BX27" s="46">
        <f t="shared" si="25"/>
        <v>0</v>
      </c>
      <c r="BY27" s="41">
        <v>35</v>
      </c>
      <c r="BZ27" s="46">
        <f t="shared" si="26"/>
        <v>48</v>
      </c>
      <c r="CA27" s="49">
        <f t="shared" si="27"/>
        <v>3.0748170731707316</v>
      </c>
      <c r="CB27" s="49" cm="1">
        <f t="array" ref="CB27">$BC27 * SUMPRODUCT(INDEX($AL$66:$AN$71,,$AE27),INDEX($AO$66:$AU$71,,$AD27), N($AK$66:$AK$71&gt;$AI27)) / CA27 / 1000</f>
        <v>0</v>
      </c>
      <c r="CC27" s="50">
        <f t="shared" si="28"/>
        <v>30</v>
      </c>
      <c r="CD27" s="46">
        <f t="shared" si="29"/>
        <v>43</v>
      </c>
      <c r="CE27" s="49">
        <f t="shared" si="30"/>
        <v>3.5018750000000001</v>
      </c>
      <c r="CF27" s="49" cm="1">
        <f t="array" ref="CF27">$BC27 * IF($AD27&lt;=2,
SUMPRODUCT(INDEX($AL$61:$AN$65,,$AE27), INDEX($AO$61:$AU$65,,$AD27), 1 / ($AV$61:$AV$65*CE27 + (1-$AV$61:$AV$65)*CA27), N($AK$61:$AK$65&gt;$AI27)),
SUMPRODUCT(INDEX($AL$56:$AN$65,,$AE27), INDEX($AO$56:$AU$65,,$AD27), 1 / ($AW$56:$AW$65*CE27 + (1-$AW$56:$AW$65)*CA27), N($AK$56:$AK$65&gt;$AI27))
) / 1000</f>
        <v>0</v>
      </c>
      <c r="CG27" s="50">
        <f t="shared" si="31"/>
        <v>25</v>
      </c>
      <c r="CH27" s="46">
        <f t="shared" si="32"/>
        <v>38</v>
      </c>
      <c r="CI27" s="49">
        <f t="shared" si="33"/>
        <v>4.0666935483870965</v>
      </c>
      <c r="CJ27" s="49" cm="1">
        <f t="array" ref="CJ27">$BC27 * IF($AD27&lt;=2,
SUMPRODUCT(INDEX($AL$56:$AN$60,,$AE27), INDEX($AO$56:$AU$60,,$AD27), 1 / ($AV$56:$AV$60*CI27 + (1-$AV$56:$AV$60)*CE27), N($AK$56:$AK$60&gt;$AI27)),
SUMPRODUCT(INDEX($AL$46:$AN$55,,$AE27), INDEX($AO$46:$AU$55,,$AD27), 1 / ($AW$46:$AW$55*CI27 + (1-$AW$46:$AW$55)*CE27), N($AK$46:$AK$55&gt;$AI27))
) / 1000</f>
        <v>0</v>
      </c>
      <c r="CK27" s="50">
        <f t="shared" si="34"/>
        <v>20</v>
      </c>
      <c r="CL27" s="46">
        <f t="shared" si="35"/>
        <v>33</v>
      </c>
      <c r="CM27" s="49">
        <f t="shared" si="36"/>
        <v>4.8487499999999999</v>
      </c>
      <c r="CN27" s="49" cm="1">
        <f t="array" ref="CN27">$BC27 * IF($AD27&lt;=2,
SUMPRODUCT(INDEX($AL$51:$AN$55,,$AE27), INDEX($AO$51:$AU$55,,$AD27), 1 / ($AV$51:$AV$55*CM27 + (1-$AV$51:$AV$55)*CI27), N($AK$51:$AK$55&gt;$AI27)),
SUMPRODUCT(INDEX($AL$36:$AN$45,,$AE27), INDEX($AO$36:$AU$45,,$AD27), 1 / ($AW$36:$AW$45*CM27 + (1-$AW$36:$AW$45)*CI27), N($AK$36:$AK$45&gt;$AI27))
) / 1000</f>
        <v>0</v>
      </c>
      <c r="CO27" s="49" cm="1">
        <f t="array" ref="CO27">$BC27 * IF($AD27&lt;=2,
SUMPRODUCT(INDEX($AL$12:$AN$50,,$AE27), INDEX($AO$12:$AU$50,,$AD27), 1 / ($AV$12:$AV$50*CM27), N($AK$12:$AK$50&gt;$AI27)),
SUMPRODUCT(INDEX($AL$12:$AN$35,,$AE27), INDEX($AO$12:$AU$35,,$AD27), 1 / ($AW$12:$AW$35*CM27), N($AK$12:$AK$35&gt;$AI27))
) / 1000</f>
        <v>0</v>
      </c>
      <c r="CP27" s="46">
        <f t="shared" si="37"/>
        <v>0</v>
      </c>
      <c r="CQ27" s="20"/>
    </row>
    <row r="28" spans="1:95" s="95" customFormat="1" ht="14.25" customHeight="1" x14ac:dyDescent="0.25">
      <c r="A28" s="36" t="b">
        <f t="shared" si="0"/>
        <v>0</v>
      </c>
      <c r="B28" s="94">
        <v>17</v>
      </c>
      <c r="C28" s="7"/>
      <c r="D28" s="7"/>
      <c r="E28" s="33"/>
      <c r="F28" s="8" t="str">
        <f>IF(ISBLANK(E28), "", VLOOKUP(E28, Z!$A$2:$C$4127, 3, FALSE))</f>
        <v/>
      </c>
      <c r="G28" s="44"/>
      <c r="H28" s="44"/>
      <c r="I28" s="107"/>
      <c r="J28" s="108"/>
      <c r="K28" s="34"/>
      <c r="L28" s="59"/>
      <c r="M28" s="58" t="str" cm="1">
        <f t="array" ref="M28">IF($K28&gt;0, INDEX(Clean,1+AG28,$B$1), "")</f>
        <v/>
      </c>
      <c r="N28" s="62"/>
      <c r="O28" s="62"/>
      <c r="P28" s="63"/>
      <c r="Q28" s="52">
        <f t="shared" si="7"/>
        <v>0</v>
      </c>
      <c r="R28" s="58" t="str" cm="1">
        <f t="array" ref="R28">IF($K28&gt;0, INDEX(Clean,1+AH28,$B$1), "")</f>
        <v/>
      </c>
      <c r="S28" s="62"/>
      <c r="T28" s="62"/>
      <c r="U28" s="63"/>
      <c r="V28" s="52">
        <f t="shared" si="8"/>
        <v>0</v>
      </c>
      <c r="W28" s="6"/>
      <c r="X28" s="7"/>
      <c r="Y28" s="33"/>
      <c r="Z28" s="8" t="str">
        <f>IF(ISBLANK(Y28), "", VLOOKUP(Y28, Z!$A$2:$C$4127, 3, FALSE))</f>
        <v/>
      </c>
      <c r="AA28" s="38"/>
      <c r="AB28" s="9">
        <f t="shared" si="1"/>
        <v>0</v>
      </c>
      <c r="AC28" s="20"/>
      <c r="AD28" s="41">
        <f t="shared" si="2"/>
        <v>1</v>
      </c>
      <c r="AE28" s="41">
        <f t="shared" si="3"/>
        <v>1</v>
      </c>
      <c r="AF28" s="41">
        <f t="shared" si="4"/>
        <v>0</v>
      </c>
      <c r="AG28" s="41">
        <v>1</v>
      </c>
      <c r="AH28" s="41">
        <v>0</v>
      </c>
      <c r="AI28" s="41">
        <f t="shared" si="5"/>
        <v>-100</v>
      </c>
      <c r="AJ28" s="20"/>
      <c r="AK28" s="41">
        <v>-3</v>
      </c>
      <c r="AL28" s="50">
        <v>13</v>
      </c>
      <c r="AM28" s="50">
        <v>115</v>
      </c>
      <c r="AN28" s="50">
        <v>128</v>
      </c>
      <c r="AO28" s="48">
        <f t="shared" si="6"/>
        <v>0</v>
      </c>
      <c r="AP28" s="48">
        <f t="shared" si="6"/>
        <v>0</v>
      </c>
      <c r="AQ28" s="48" cm="1">
        <f t="array" ref="AQ28">MIN(INDEX(Use,AQ$10,5) + MAX(0, (1-INDEX(Use,AQ$10,5))*($AK28-5)/(35-5)), 1)</f>
        <v>0.4</v>
      </c>
      <c r="AR28" s="48" cm="1">
        <f t="array" ref="AR28">MIN(INDEX(Use,AR$10,5) + MAX(0, (1-INDEX(Use,AR$10,5))*($AK28-5)/(35-5)), 1)</f>
        <v>0.6</v>
      </c>
      <c r="AS28" s="48" cm="1">
        <f t="array" ref="AS28">MIN(INDEX(Use,AS$10,5) + MAX(0, (1-INDEX(Use,AS$10,5))*($AK28-5)/(35-5)), 1)</f>
        <v>0.8</v>
      </c>
      <c r="AT28" s="48" cm="1">
        <f t="array" ref="AT28">MIN(INDEX(Use,AT$10,5) + MAX(0, (1-INDEX(Use,AT$10,5))*($AK28-5)/(35-5)), 1)</f>
        <v>0.8</v>
      </c>
      <c r="AU28" s="48" cm="1">
        <f t="array" ref="AU28">MIN(INDEX(Use,AU$10,5) + MAX(0, (1-INDEX(Use,AU$10,5))*($AK28-5)/(35-5)), 1)</f>
        <v>0.8</v>
      </c>
      <c r="AV28" s="48">
        <v>1</v>
      </c>
      <c r="AW28" s="48">
        <v>1</v>
      </c>
      <c r="AX28" s="15"/>
      <c r="AY28" s="41" cm="1">
        <f t="array" ref="AY28">INDEX(Use, $AD28, 4)</f>
        <v>7</v>
      </c>
      <c r="AZ28" s="41">
        <f t="shared" si="9"/>
        <v>32</v>
      </c>
      <c r="BA28" s="41">
        <f t="shared" si="10"/>
        <v>13</v>
      </c>
      <c r="BB28" s="41">
        <f t="shared" si="11"/>
        <v>0</v>
      </c>
      <c r="BC28" s="57" cm="1">
        <f t="array" ref="BC28">K28/IF($L28&gt;0, INDEX($AO$12:$AU$66, $L28+20, $AD28), 1)</f>
        <v>0</v>
      </c>
      <c r="BD28" s="46">
        <f t="shared" si="12"/>
        <v>0</v>
      </c>
      <c r="BE28" s="41">
        <v>35</v>
      </c>
      <c r="BF28" s="46">
        <f t="shared" si="13"/>
        <v>52.55</v>
      </c>
      <c r="BG28" s="49">
        <f t="shared" si="14"/>
        <v>2.7676728869374316</v>
      </c>
      <c r="BH28" s="49" cm="1">
        <f t="array" ref="BH28">$BC28 * SUMPRODUCT(INDEX($AL$66:$AN$71,,$AE28),INDEX($AO$66:$AU$71,,$AD28), N($AK$66:$AK$71&gt;$AI28)) / BG28 / 1000</f>
        <v>0</v>
      </c>
      <c r="BI28" s="50">
        <f t="shared" si="15"/>
        <v>30</v>
      </c>
      <c r="BJ28" s="46">
        <f t="shared" si="16"/>
        <v>46.033333333333331</v>
      </c>
      <c r="BK28" s="49">
        <f t="shared" si="17"/>
        <v>3.2297395388556791</v>
      </c>
      <c r="BL28" s="49" cm="1">
        <f t="array" ref="BL28">$BC28 * IF($AD28&lt;=2,
SUMPRODUCT(INDEX($AL$61:$AN$65,,$AE28), INDEX($AO$61:$AU$65,,$AD28), 1 / ($AV$61:$AV$65*BK28 + (1-$AV$61:$AV$65)*BG28), N($AK$61:$AK$65&gt;$AI28)),
SUMPRODUCT(INDEX($AL$56:$AN$65,,$AE28), INDEX($AO$56:$AU$65,,$AD28), 1 / ($AW$56:$AW$65*BK28 + (1-$AW$56:$AW$65)*BG28), N($AK$56:$AK$65&gt;$AI28))
) / 1000</f>
        <v>0</v>
      </c>
      <c r="BM28" s="50">
        <f t="shared" si="18"/>
        <v>25</v>
      </c>
      <c r="BN28" s="46">
        <f t="shared" si="19"/>
        <v>39.516666666666666</v>
      </c>
      <c r="BO28" s="49">
        <f t="shared" si="20"/>
        <v>3.877011788826243</v>
      </c>
      <c r="BP28" s="49" cm="1">
        <f t="array" ref="BP28">$BC28 * IF($AD28&lt;=2,
SUMPRODUCT(INDEX($AL$56:$AN$60,,$AE28), INDEX($AO$56:$AU$60,,$AD28), 1 / ($AV$56:$AV$60*BO28 + (1-$AV$56:$AV$60)*BK28), N($AK$56:$AK$60&gt;$AI28)),
SUMPRODUCT(INDEX($AL$46:$AN$55,,$AE28), INDEX($AO$46:$AU$55,,$AD28), 1 / ($AW$46:$AW$55*BO28 + (1-$AW$46:$AW$55)*BK28), N($AK$46:$AK$55&gt;$AI28))
) / 1000</f>
        <v>0</v>
      </c>
      <c r="BQ28" s="50">
        <f t="shared" si="21"/>
        <v>20</v>
      </c>
      <c r="BR28" s="46">
        <f t="shared" si="22"/>
        <v>33</v>
      </c>
      <c r="BS28" s="49">
        <f t="shared" si="23"/>
        <v>4.8487499999999999</v>
      </c>
      <c r="BT28" s="49" cm="1">
        <f t="array" ref="BT28">$BC28 * IF($AD28&lt;=2,
SUMPRODUCT(INDEX($AL$51:$AN$55,,$AE28), INDEX($AO$51:$AU$55,,$AD28), 1 / ($AV$51:$AV$55*BS28 + (1-$AV$51:$AV$55)*BO28), N($AK$51:$AK$55&gt;$AI28)),
SUMPRODUCT(INDEX($AL$36:$AN$45,,$AE28), INDEX($AO$36:$AU$45,,$AD28), 1 / ($AW$36:$AW$45*BS28 + (1-$AW$36:$AW$45)*BO28), N($AK$36:$AK$45&gt;$AI28))
) / 1000</f>
        <v>0</v>
      </c>
      <c r="BU28" s="49" cm="1">
        <f t="array" ref="BU28">$BC28 * IF($AD28&lt;=2,
SUMPRODUCT(INDEX($AL$12:$AN$50,,$AE28), INDEX($AO$12:$AU$50,,$AD28), 1 / ($AV$12:$AV$50*BS28), N($AK$12:$AK$50&gt;$AI28)),
SUMPRODUCT(INDEX($AL$12:$AN$35,,$AE28), INDEX($AO$12:$AU$35,,$AD28), 1 / ($AW$12:$AW$35*BS28), N($AK$12:$AK$35&gt;$AI28))
) / 1000</f>
        <v>0</v>
      </c>
      <c r="BV28" s="46">
        <f t="shared" si="24"/>
        <v>0</v>
      </c>
      <c r="BW28" s="20"/>
      <c r="BX28" s="46">
        <f t="shared" si="25"/>
        <v>0</v>
      </c>
      <c r="BY28" s="41">
        <v>35</v>
      </c>
      <c r="BZ28" s="46">
        <f t="shared" si="26"/>
        <v>48</v>
      </c>
      <c r="CA28" s="49">
        <f t="shared" si="27"/>
        <v>3.0748170731707316</v>
      </c>
      <c r="CB28" s="49" cm="1">
        <f t="array" ref="CB28">$BC28 * SUMPRODUCT(INDEX($AL$66:$AN$71,,$AE28),INDEX($AO$66:$AU$71,,$AD28), N($AK$66:$AK$71&gt;$AI28)) / CA28 / 1000</f>
        <v>0</v>
      </c>
      <c r="CC28" s="50">
        <f t="shared" si="28"/>
        <v>30</v>
      </c>
      <c r="CD28" s="46">
        <f t="shared" si="29"/>
        <v>43</v>
      </c>
      <c r="CE28" s="49">
        <f t="shared" si="30"/>
        <v>3.5018750000000001</v>
      </c>
      <c r="CF28" s="49" cm="1">
        <f t="array" ref="CF28">$BC28 * IF($AD28&lt;=2,
SUMPRODUCT(INDEX($AL$61:$AN$65,,$AE28), INDEX($AO$61:$AU$65,,$AD28), 1 / ($AV$61:$AV$65*CE28 + (1-$AV$61:$AV$65)*CA28), N($AK$61:$AK$65&gt;$AI28)),
SUMPRODUCT(INDEX($AL$56:$AN$65,,$AE28), INDEX($AO$56:$AU$65,,$AD28), 1 / ($AW$56:$AW$65*CE28 + (1-$AW$56:$AW$65)*CA28), N($AK$56:$AK$65&gt;$AI28))
) / 1000</f>
        <v>0</v>
      </c>
      <c r="CG28" s="50">
        <f t="shared" si="31"/>
        <v>25</v>
      </c>
      <c r="CH28" s="46">
        <f t="shared" si="32"/>
        <v>38</v>
      </c>
      <c r="CI28" s="49">
        <f t="shared" si="33"/>
        <v>4.0666935483870965</v>
      </c>
      <c r="CJ28" s="49" cm="1">
        <f t="array" ref="CJ28">$BC28 * IF($AD28&lt;=2,
SUMPRODUCT(INDEX($AL$56:$AN$60,,$AE28), INDEX($AO$56:$AU$60,,$AD28), 1 / ($AV$56:$AV$60*CI28 + (1-$AV$56:$AV$60)*CE28), N($AK$56:$AK$60&gt;$AI28)),
SUMPRODUCT(INDEX($AL$46:$AN$55,,$AE28), INDEX($AO$46:$AU$55,,$AD28), 1 / ($AW$46:$AW$55*CI28 + (1-$AW$46:$AW$55)*CE28), N($AK$46:$AK$55&gt;$AI28))
) / 1000</f>
        <v>0</v>
      </c>
      <c r="CK28" s="50">
        <f t="shared" si="34"/>
        <v>20</v>
      </c>
      <c r="CL28" s="46">
        <f t="shared" si="35"/>
        <v>33</v>
      </c>
      <c r="CM28" s="49">
        <f t="shared" si="36"/>
        <v>4.8487499999999999</v>
      </c>
      <c r="CN28" s="49" cm="1">
        <f t="array" ref="CN28">$BC28 * IF($AD28&lt;=2,
SUMPRODUCT(INDEX($AL$51:$AN$55,,$AE28), INDEX($AO$51:$AU$55,,$AD28), 1 / ($AV$51:$AV$55*CM28 + (1-$AV$51:$AV$55)*CI28), N($AK$51:$AK$55&gt;$AI28)),
SUMPRODUCT(INDEX($AL$36:$AN$45,,$AE28), INDEX($AO$36:$AU$45,,$AD28), 1 / ($AW$36:$AW$45*CM28 + (1-$AW$36:$AW$45)*CI28), N($AK$36:$AK$45&gt;$AI28))
) / 1000</f>
        <v>0</v>
      </c>
      <c r="CO28" s="49" cm="1">
        <f t="array" ref="CO28">$BC28 * IF($AD28&lt;=2,
SUMPRODUCT(INDEX($AL$12:$AN$50,,$AE28), INDEX($AO$12:$AU$50,,$AD28), 1 / ($AV$12:$AV$50*CM28), N($AK$12:$AK$50&gt;$AI28)),
SUMPRODUCT(INDEX($AL$12:$AN$35,,$AE28), INDEX($AO$12:$AU$35,,$AD28), 1 / ($AW$12:$AW$35*CM28), N($AK$12:$AK$35&gt;$AI28))
) / 1000</f>
        <v>0</v>
      </c>
      <c r="CP28" s="46">
        <f t="shared" si="37"/>
        <v>0</v>
      </c>
      <c r="CQ28" s="20"/>
    </row>
    <row r="29" spans="1:95" s="95" customFormat="1" ht="14.25" customHeight="1" x14ac:dyDescent="0.25">
      <c r="A29" s="36" t="b">
        <f t="shared" si="0"/>
        <v>0</v>
      </c>
      <c r="B29" s="94">
        <v>18</v>
      </c>
      <c r="C29" s="7"/>
      <c r="D29" s="7"/>
      <c r="E29" s="33"/>
      <c r="F29" s="8" t="str">
        <f>IF(ISBLANK(E29), "", VLOOKUP(E29, Z!$A$2:$C$4127, 3, FALSE))</f>
        <v/>
      </c>
      <c r="G29" s="44"/>
      <c r="H29" s="44"/>
      <c r="I29" s="107"/>
      <c r="J29" s="108"/>
      <c r="K29" s="34"/>
      <c r="L29" s="59"/>
      <c r="M29" s="58" t="str" cm="1">
        <f t="array" ref="M29">IF($K29&gt;0, INDEX(Clean,1+AG29,$B$1), "")</f>
        <v/>
      </c>
      <c r="N29" s="62"/>
      <c r="O29" s="62"/>
      <c r="P29" s="63"/>
      <c r="Q29" s="52">
        <f t="shared" si="7"/>
        <v>0</v>
      </c>
      <c r="R29" s="58" t="str" cm="1">
        <f t="array" ref="R29">IF($K29&gt;0, INDEX(Clean,1+AH29,$B$1), "")</f>
        <v/>
      </c>
      <c r="S29" s="62"/>
      <c r="T29" s="62"/>
      <c r="U29" s="63"/>
      <c r="V29" s="52">
        <f t="shared" si="8"/>
        <v>0</v>
      </c>
      <c r="W29" s="6"/>
      <c r="X29" s="7"/>
      <c r="Y29" s="33"/>
      <c r="Z29" s="8" t="str">
        <f>IF(ISBLANK(Y29), "", VLOOKUP(Y29, Z!$A$2:$C$4127, 3, FALSE))</f>
        <v/>
      </c>
      <c r="AA29" s="38"/>
      <c r="AB29" s="9">
        <f t="shared" si="1"/>
        <v>0</v>
      </c>
      <c r="AC29" s="20"/>
      <c r="AD29" s="41">
        <f t="shared" si="2"/>
        <v>1</v>
      </c>
      <c r="AE29" s="41">
        <f t="shared" si="3"/>
        <v>1</v>
      </c>
      <c r="AF29" s="41">
        <f t="shared" si="4"/>
        <v>0</v>
      </c>
      <c r="AG29" s="41">
        <v>1</v>
      </c>
      <c r="AH29" s="41">
        <v>0</v>
      </c>
      <c r="AI29" s="41">
        <f t="shared" si="5"/>
        <v>-100</v>
      </c>
      <c r="AJ29" s="20"/>
      <c r="AK29" s="41">
        <v>-2</v>
      </c>
      <c r="AL29" s="50">
        <v>47</v>
      </c>
      <c r="AM29" s="50">
        <v>181</v>
      </c>
      <c r="AN29" s="50">
        <v>180</v>
      </c>
      <c r="AO29" s="48">
        <f t="shared" si="6"/>
        <v>0</v>
      </c>
      <c r="AP29" s="48">
        <f t="shared" si="6"/>
        <v>0</v>
      </c>
      <c r="AQ29" s="48" cm="1">
        <f t="array" ref="AQ29">MIN(INDEX(Use,AQ$10,5) + MAX(0, (1-INDEX(Use,AQ$10,5))*($AK29-5)/(35-5)), 1)</f>
        <v>0.4</v>
      </c>
      <c r="AR29" s="48" cm="1">
        <f t="array" ref="AR29">MIN(INDEX(Use,AR$10,5) + MAX(0, (1-INDEX(Use,AR$10,5))*($AK29-5)/(35-5)), 1)</f>
        <v>0.6</v>
      </c>
      <c r="AS29" s="48" cm="1">
        <f t="array" ref="AS29">MIN(INDEX(Use,AS$10,5) + MAX(0, (1-INDEX(Use,AS$10,5))*($AK29-5)/(35-5)), 1)</f>
        <v>0.8</v>
      </c>
      <c r="AT29" s="48" cm="1">
        <f t="array" ref="AT29">MIN(INDEX(Use,AT$10,5) + MAX(0, (1-INDEX(Use,AT$10,5))*($AK29-5)/(35-5)), 1)</f>
        <v>0.8</v>
      </c>
      <c r="AU29" s="48" cm="1">
        <f t="array" ref="AU29">MIN(INDEX(Use,AU$10,5) + MAX(0, (1-INDEX(Use,AU$10,5))*($AK29-5)/(35-5)), 1)</f>
        <v>0.8</v>
      </c>
      <c r="AV29" s="48">
        <v>1</v>
      </c>
      <c r="AW29" s="48">
        <v>1</v>
      </c>
      <c r="AX29" s="15"/>
      <c r="AY29" s="41" cm="1">
        <f t="array" ref="AY29">INDEX(Use, $AD29, 4)</f>
        <v>7</v>
      </c>
      <c r="AZ29" s="41">
        <f t="shared" si="9"/>
        <v>32</v>
      </c>
      <c r="BA29" s="41">
        <f t="shared" si="10"/>
        <v>13</v>
      </c>
      <c r="BB29" s="41">
        <f t="shared" si="11"/>
        <v>0</v>
      </c>
      <c r="BC29" s="57" cm="1">
        <f t="array" ref="BC29">K29/IF($L29&gt;0, INDEX($AO$12:$AU$66, $L29+20, $AD29), 1)</f>
        <v>0</v>
      </c>
      <c r="BD29" s="46">
        <f t="shared" si="12"/>
        <v>0</v>
      </c>
      <c r="BE29" s="41">
        <v>35</v>
      </c>
      <c r="BF29" s="46">
        <f t="shared" si="13"/>
        <v>52.55</v>
      </c>
      <c r="BG29" s="49">
        <f t="shared" si="14"/>
        <v>2.7676728869374316</v>
      </c>
      <c r="BH29" s="49" cm="1">
        <f t="array" ref="BH29">$BC29 * SUMPRODUCT(INDEX($AL$66:$AN$71,,$AE29),INDEX($AO$66:$AU$71,,$AD29), N($AK$66:$AK$71&gt;$AI29)) / BG29 / 1000</f>
        <v>0</v>
      </c>
      <c r="BI29" s="50">
        <f t="shared" si="15"/>
        <v>30</v>
      </c>
      <c r="BJ29" s="46">
        <f t="shared" si="16"/>
        <v>46.033333333333331</v>
      </c>
      <c r="BK29" s="49">
        <f t="shared" si="17"/>
        <v>3.2297395388556791</v>
      </c>
      <c r="BL29" s="49" cm="1">
        <f t="array" ref="BL29">$BC29 * IF($AD29&lt;=2,
SUMPRODUCT(INDEX($AL$61:$AN$65,,$AE29), INDEX($AO$61:$AU$65,,$AD29), 1 / ($AV$61:$AV$65*BK29 + (1-$AV$61:$AV$65)*BG29), N($AK$61:$AK$65&gt;$AI29)),
SUMPRODUCT(INDEX($AL$56:$AN$65,,$AE29), INDEX($AO$56:$AU$65,,$AD29), 1 / ($AW$56:$AW$65*BK29 + (1-$AW$56:$AW$65)*BG29), N($AK$56:$AK$65&gt;$AI29))
) / 1000</f>
        <v>0</v>
      </c>
      <c r="BM29" s="50">
        <f t="shared" si="18"/>
        <v>25</v>
      </c>
      <c r="BN29" s="46">
        <f t="shared" si="19"/>
        <v>39.516666666666666</v>
      </c>
      <c r="BO29" s="49">
        <f t="shared" si="20"/>
        <v>3.877011788826243</v>
      </c>
      <c r="BP29" s="49" cm="1">
        <f t="array" ref="BP29">$BC29 * IF($AD29&lt;=2,
SUMPRODUCT(INDEX($AL$56:$AN$60,,$AE29), INDEX($AO$56:$AU$60,,$AD29), 1 / ($AV$56:$AV$60*BO29 + (1-$AV$56:$AV$60)*BK29), N($AK$56:$AK$60&gt;$AI29)),
SUMPRODUCT(INDEX($AL$46:$AN$55,,$AE29), INDEX($AO$46:$AU$55,,$AD29), 1 / ($AW$46:$AW$55*BO29 + (1-$AW$46:$AW$55)*BK29), N($AK$46:$AK$55&gt;$AI29))
) / 1000</f>
        <v>0</v>
      </c>
      <c r="BQ29" s="50">
        <f t="shared" si="21"/>
        <v>20</v>
      </c>
      <c r="BR29" s="46">
        <f t="shared" si="22"/>
        <v>33</v>
      </c>
      <c r="BS29" s="49">
        <f t="shared" si="23"/>
        <v>4.8487499999999999</v>
      </c>
      <c r="BT29" s="49" cm="1">
        <f t="array" ref="BT29">$BC29 * IF($AD29&lt;=2,
SUMPRODUCT(INDEX($AL$51:$AN$55,,$AE29), INDEX($AO$51:$AU$55,,$AD29), 1 / ($AV$51:$AV$55*BS29 + (1-$AV$51:$AV$55)*BO29), N($AK$51:$AK$55&gt;$AI29)),
SUMPRODUCT(INDEX($AL$36:$AN$45,,$AE29), INDEX($AO$36:$AU$45,,$AD29), 1 / ($AW$36:$AW$45*BS29 + (1-$AW$36:$AW$45)*BO29), N($AK$36:$AK$45&gt;$AI29))
) / 1000</f>
        <v>0</v>
      </c>
      <c r="BU29" s="49" cm="1">
        <f t="array" ref="BU29">$BC29 * IF($AD29&lt;=2,
SUMPRODUCT(INDEX($AL$12:$AN$50,,$AE29), INDEX($AO$12:$AU$50,,$AD29), 1 / ($AV$12:$AV$50*BS29), N($AK$12:$AK$50&gt;$AI29)),
SUMPRODUCT(INDEX($AL$12:$AN$35,,$AE29), INDEX($AO$12:$AU$35,,$AD29), 1 / ($AW$12:$AW$35*BS29), N($AK$12:$AK$35&gt;$AI29))
) / 1000</f>
        <v>0</v>
      </c>
      <c r="BV29" s="46">
        <f t="shared" si="24"/>
        <v>0</v>
      </c>
      <c r="BW29" s="20"/>
      <c r="BX29" s="46">
        <f t="shared" si="25"/>
        <v>0</v>
      </c>
      <c r="BY29" s="41">
        <v>35</v>
      </c>
      <c r="BZ29" s="46">
        <f t="shared" si="26"/>
        <v>48</v>
      </c>
      <c r="CA29" s="49">
        <f t="shared" si="27"/>
        <v>3.0748170731707316</v>
      </c>
      <c r="CB29" s="49" cm="1">
        <f t="array" ref="CB29">$BC29 * SUMPRODUCT(INDEX($AL$66:$AN$71,,$AE29),INDEX($AO$66:$AU$71,,$AD29), N($AK$66:$AK$71&gt;$AI29)) / CA29 / 1000</f>
        <v>0</v>
      </c>
      <c r="CC29" s="50">
        <f t="shared" si="28"/>
        <v>30</v>
      </c>
      <c r="CD29" s="46">
        <f t="shared" si="29"/>
        <v>43</v>
      </c>
      <c r="CE29" s="49">
        <f t="shared" si="30"/>
        <v>3.5018750000000001</v>
      </c>
      <c r="CF29" s="49" cm="1">
        <f t="array" ref="CF29">$BC29 * IF($AD29&lt;=2,
SUMPRODUCT(INDEX($AL$61:$AN$65,,$AE29), INDEX($AO$61:$AU$65,,$AD29), 1 / ($AV$61:$AV$65*CE29 + (1-$AV$61:$AV$65)*CA29), N($AK$61:$AK$65&gt;$AI29)),
SUMPRODUCT(INDEX($AL$56:$AN$65,,$AE29), INDEX($AO$56:$AU$65,,$AD29), 1 / ($AW$56:$AW$65*CE29 + (1-$AW$56:$AW$65)*CA29), N($AK$56:$AK$65&gt;$AI29))
) / 1000</f>
        <v>0</v>
      </c>
      <c r="CG29" s="50">
        <f t="shared" si="31"/>
        <v>25</v>
      </c>
      <c r="CH29" s="46">
        <f t="shared" si="32"/>
        <v>38</v>
      </c>
      <c r="CI29" s="49">
        <f t="shared" si="33"/>
        <v>4.0666935483870965</v>
      </c>
      <c r="CJ29" s="49" cm="1">
        <f t="array" ref="CJ29">$BC29 * IF($AD29&lt;=2,
SUMPRODUCT(INDEX($AL$56:$AN$60,,$AE29), INDEX($AO$56:$AU$60,,$AD29), 1 / ($AV$56:$AV$60*CI29 + (1-$AV$56:$AV$60)*CE29), N($AK$56:$AK$60&gt;$AI29)),
SUMPRODUCT(INDEX($AL$46:$AN$55,,$AE29), INDEX($AO$46:$AU$55,,$AD29), 1 / ($AW$46:$AW$55*CI29 + (1-$AW$46:$AW$55)*CE29), N($AK$46:$AK$55&gt;$AI29))
) / 1000</f>
        <v>0</v>
      </c>
      <c r="CK29" s="50">
        <f t="shared" si="34"/>
        <v>20</v>
      </c>
      <c r="CL29" s="46">
        <f t="shared" si="35"/>
        <v>33</v>
      </c>
      <c r="CM29" s="49">
        <f t="shared" si="36"/>
        <v>4.8487499999999999</v>
      </c>
      <c r="CN29" s="49" cm="1">
        <f t="array" ref="CN29">$BC29 * IF($AD29&lt;=2,
SUMPRODUCT(INDEX($AL$51:$AN$55,,$AE29), INDEX($AO$51:$AU$55,,$AD29), 1 / ($AV$51:$AV$55*CM29 + (1-$AV$51:$AV$55)*CI29), N($AK$51:$AK$55&gt;$AI29)),
SUMPRODUCT(INDEX($AL$36:$AN$45,,$AE29), INDEX($AO$36:$AU$45,,$AD29), 1 / ($AW$36:$AW$45*CM29 + (1-$AW$36:$AW$45)*CI29), N($AK$36:$AK$45&gt;$AI29))
) / 1000</f>
        <v>0</v>
      </c>
      <c r="CO29" s="49" cm="1">
        <f t="array" ref="CO29">$BC29 * IF($AD29&lt;=2,
SUMPRODUCT(INDEX($AL$12:$AN$50,,$AE29), INDEX($AO$12:$AU$50,,$AD29), 1 / ($AV$12:$AV$50*CM29), N($AK$12:$AK$50&gt;$AI29)),
SUMPRODUCT(INDEX($AL$12:$AN$35,,$AE29), INDEX($AO$12:$AU$35,,$AD29), 1 / ($AW$12:$AW$35*CM29), N($AK$12:$AK$35&gt;$AI29))
) / 1000</f>
        <v>0</v>
      </c>
      <c r="CP29" s="46">
        <f t="shared" si="37"/>
        <v>0</v>
      </c>
      <c r="CQ29" s="20"/>
    </row>
    <row r="30" spans="1:95" s="95" customFormat="1" ht="14.25" customHeight="1" x14ac:dyDescent="0.25">
      <c r="A30" s="36" t="b">
        <f t="shared" si="0"/>
        <v>0</v>
      </c>
      <c r="B30" s="94">
        <v>19</v>
      </c>
      <c r="C30" s="7"/>
      <c r="D30" s="7"/>
      <c r="E30" s="33"/>
      <c r="F30" s="8" t="str">
        <f>IF(ISBLANK(E30), "", VLOOKUP(E30, Z!$A$2:$C$4127, 3, FALSE))</f>
        <v/>
      </c>
      <c r="G30" s="44"/>
      <c r="H30" s="44"/>
      <c r="I30" s="107"/>
      <c r="J30" s="108"/>
      <c r="K30" s="34"/>
      <c r="L30" s="59"/>
      <c r="M30" s="58" t="str" cm="1">
        <f t="array" ref="M30">IF($K30&gt;0, INDEX(Clean,1+AG30,$B$1), "")</f>
        <v/>
      </c>
      <c r="N30" s="62"/>
      <c r="O30" s="62"/>
      <c r="P30" s="63"/>
      <c r="Q30" s="52">
        <f t="shared" si="7"/>
        <v>0</v>
      </c>
      <c r="R30" s="58" t="str" cm="1">
        <f t="array" ref="R30">IF($K30&gt;0, INDEX(Clean,1+AH30,$B$1), "")</f>
        <v/>
      </c>
      <c r="S30" s="62"/>
      <c r="T30" s="62"/>
      <c r="U30" s="63"/>
      <c r="V30" s="52">
        <f t="shared" si="8"/>
        <v>0</v>
      </c>
      <c r="W30" s="6"/>
      <c r="X30" s="7"/>
      <c r="Y30" s="33"/>
      <c r="Z30" s="8" t="str">
        <f>IF(ISBLANK(Y30), "", VLOOKUP(Y30, Z!$A$2:$C$4127, 3, FALSE))</f>
        <v/>
      </c>
      <c r="AA30" s="38"/>
      <c r="AB30" s="9">
        <f t="shared" si="1"/>
        <v>0</v>
      </c>
      <c r="AC30" s="20"/>
      <c r="AD30" s="41">
        <f t="shared" si="2"/>
        <v>1</v>
      </c>
      <c r="AE30" s="41">
        <f t="shared" si="3"/>
        <v>1</v>
      </c>
      <c r="AF30" s="41">
        <f t="shared" si="4"/>
        <v>0</v>
      </c>
      <c r="AG30" s="41">
        <v>1</v>
      </c>
      <c r="AH30" s="41">
        <v>0</v>
      </c>
      <c r="AI30" s="41">
        <f t="shared" si="5"/>
        <v>-100</v>
      </c>
      <c r="AJ30" s="20"/>
      <c r="AK30" s="41">
        <v>-1</v>
      </c>
      <c r="AL30" s="50">
        <v>75</v>
      </c>
      <c r="AM30" s="50">
        <v>178</v>
      </c>
      <c r="AN30" s="50">
        <v>197</v>
      </c>
      <c r="AO30" s="48">
        <f t="shared" si="6"/>
        <v>0</v>
      </c>
      <c r="AP30" s="48">
        <f t="shared" si="6"/>
        <v>0</v>
      </c>
      <c r="AQ30" s="48" cm="1">
        <f t="array" ref="AQ30">MIN(INDEX(Use,AQ$10,5) + MAX(0, (1-INDEX(Use,AQ$10,5))*($AK30-5)/(35-5)), 1)</f>
        <v>0.4</v>
      </c>
      <c r="AR30" s="48" cm="1">
        <f t="array" ref="AR30">MIN(INDEX(Use,AR$10,5) + MAX(0, (1-INDEX(Use,AR$10,5))*($AK30-5)/(35-5)), 1)</f>
        <v>0.6</v>
      </c>
      <c r="AS30" s="48" cm="1">
        <f t="array" ref="AS30">MIN(INDEX(Use,AS$10,5) + MAX(0, (1-INDEX(Use,AS$10,5))*($AK30-5)/(35-5)), 1)</f>
        <v>0.8</v>
      </c>
      <c r="AT30" s="48" cm="1">
        <f t="array" ref="AT30">MIN(INDEX(Use,AT$10,5) + MAX(0, (1-INDEX(Use,AT$10,5))*($AK30-5)/(35-5)), 1)</f>
        <v>0.8</v>
      </c>
      <c r="AU30" s="48" cm="1">
        <f t="array" ref="AU30">MIN(INDEX(Use,AU$10,5) + MAX(0, (1-INDEX(Use,AU$10,5))*($AK30-5)/(35-5)), 1)</f>
        <v>0.8</v>
      </c>
      <c r="AV30" s="48">
        <v>1</v>
      </c>
      <c r="AW30" s="48">
        <v>1</v>
      </c>
      <c r="AX30" s="15"/>
      <c r="AY30" s="41" cm="1">
        <f t="array" ref="AY30">INDEX(Use, $AD30, 4)</f>
        <v>7</v>
      </c>
      <c r="AZ30" s="41">
        <f t="shared" si="9"/>
        <v>32</v>
      </c>
      <c r="BA30" s="41">
        <f t="shared" si="10"/>
        <v>13</v>
      </c>
      <c r="BB30" s="41">
        <f t="shared" si="11"/>
        <v>0</v>
      </c>
      <c r="BC30" s="57" cm="1">
        <f t="array" ref="BC30">K30/IF($L30&gt;0, INDEX($AO$12:$AU$66, $L30+20, $AD30), 1)</f>
        <v>0</v>
      </c>
      <c r="BD30" s="46">
        <f t="shared" si="12"/>
        <v>0</v>
      </c>
      <c r="BE30" s="41">
        <v>35</v>
      </c>
      <c r="BF30" s="46">
        <f t="shared" si="13"/>
        <v>52.55</v>
      </c>
      <c r="BG30" s="49">
        <f t="shared" si="14"/>
        <v>2.7676728869374316</v>
      </c>
      <c r="BH30" s="49" cm="1">
        <f t="array" ref="BH30">$BC30 * SUMPRODUCT(INDEX($AL$66:$AN$71,,$AE30),INDEX($AO$66:$AU$71,,$AD30), N($AK$66:$AK$71&gt;$AI30)) / BG30 / 1000</f>
        <v>0</v>
      </c>
      <c r="BI30" s="50">
        <f t="shared" si="15"/>
        <v>30</v>
      </c>
      <c r="BJ30" s="46">
        <f t="shared" si="16"/>
        <v>46.033333333333331</v>
      </c>
      <c r="BK30" s="49">
        <f t="shared" si="17"/>
        <v>3.2297395388556791</v>
      </c>
      <c r="BL30" s="49" cm="1">
        <f t="array" ref="BL30">$BC30 * IF($AD30&lt;=2,
SUMPRODUCT(INDEX($AL$61:$AN$65,,$AE30), INDEX($AO$61:$AU$65,,$AD30), 1 / ($AV$61:$AV$65*BK30 + (1-$AV$61:$AV$65)*BG30), N($AK$61:$AK$65&gt;$AI30)),
SUMPRODUCT(INDEX($AL$56:$AN$65,,$AE30), INDEX($AO$56:$AU$65,,$AD30), 1 / ($AW$56:$AW$65*BK30 + (1-$AW$56:$AW$65)*BG30), N($AK$56:$AK$65&gt;$AI30))
) / 1000</f>
        <v>0</v>
      </c>
      <c r="BM30" s="50">
        <f t="shared" si="18"/>
        <v>25</v>
      </c>
      <c r="BN30" s="46">
        <f t="shared" si="19"/>
        <v>39.516666666666666</v>
      </c>
      <c r="BO30" s="49">
        <f t="shared" si="20"/>
        <v>3.877011788826243</v>
      </c>
      <c r="BP30" s="49" cm="1">
        <f t="array" ref="BP30">$BC30 * IF($AD30&lt;=2,
SUMPRODUCT(INDEX($AL$56:$AN$60,,$AE30), INDEX($AO$56:$AU$60,,$AD30), 1 / ($AV$56:$AV$60*BO30 + (1-$AV$56:$AV$60)*BK30), N($AK$56:$AK$60&gt;$AI30)),
SUMPRODUCT(INDEX($AL$46:$AN$55,,$AE30), INDEX($AO$46:$AU$55,,$AD30), 1 / ($AW$46:$AW$55*BO30 + (1-$AW$46:$AW$55)*BK30), N($AK$46:$AK$55&gt;$AI30))
) / 1000</f>
        <v>0</v>
      </c>
      <c r="BQ30" s="50">
        <f t="shared" si="21"/>
        <v>20</v>
      </c>
      <c r="BR30" s="46">
        <f t="shared" si="22"/>
        <v>33</v>
      </c>
      <c r="BS30" s="49">
        <f t="shared" si="23"/>
        <v>4.8487499999999999</v>
      </c>
      <c r="BT30" s="49" cm="1">
        <f t="array" ref="BT30">$BC30 * IF($AD30&lt;=2,
SUMPRODUCT(INDEX($AL$51:$AN$55,,$AE30), INDEX($AO$51:$AU$55,,$AD30), 1 / ($AV$51:$AV$55*BS30 + (1-$AV$51:$AV$55)*BO30), N($AK$51:$AK$55&gt;$AI30)),
SUMPRODUCT(INDEX($AL$36:$AN$45,,$AE30), INDEX($AO$36:$AU$45,,$AD30), 1 / ($AW$36:$AW$45*BS30 + (1-$AW$36:$AW$45)*BO30), N($AK$36:$AK$45&gt;$AI30))
) / 1000</f>
        <v>0</v>
      </c>
      <c r="BU30" s="49" cm="1">
        <f t="array" ref="BU30">$BC30 * IF($AD30&lt;=2,
SUMPRODUCT(INDEX($AL$12:$AN$50,,$AE30), INDEX($AO$12:$AU$50,,$AD30), 1 / ($AV$12:$AV$50*BS30), N($AK$12:$AK$50&gt;$AI30)),
SUMPRODUCT(INDEX($AL$12:$AN$35,,$AE30), INDEX($AO$12:$AU$35,,$AD30), 1 / ($AW$12:$AW$35*BS30), N($AK$12:$AK$35&gt;$AI30))
) / 1000</f>
        <v>0</v>
      </c>
      <c r="BV30" s="46">
        <f t="shared" si="24"/>
        <v>0</v>
      </c>
      <c r="BW30" s="20"/>
      <c r="BX30" s="46">
        <f t="shared" si="25"/>
        <v>0</v>
      </c>
      <c r="BY30" s="41">
        <v>35</v>
      </c>
      <c r="BZ30" s="46">
        <f t="shared" si="26"/>
        <v>48</v>
      </c>
      <c r="CA30" s="49">
        <f t="shared" si="27"/>
        <v>3.0748170731707316</v>
      </c>
      <c r="CB30" s="49" cm="1">
        <f t="array" ref="CB30">$BC30 * SUMPRODUCT(INDEX($AL$66:$AN$71,,$AE30),INDEX($AO$66:$AU$71,,$AD30), N($AK$66:$AK$71&gt;$AI30)) / CA30 / 1000</f>
        <v>0</v>
      </c>
      <c r="CC30" s="50">
        <f t="shared" si="28"/>
        <v>30</v>
      </c>
      <c r="CD30" s="46">
        <f t="shared" si="29"/>
        <v>43</v>
      </c>
      <c r="CE30" s="49">
        <f t="shared" si="30"/>
        <v>3.5018750000000001</v>
      </c>
      <c r="CF30" s="49" cm="1">
        <f t="array" ref="CF30">$BC30 * IF($AD30&lt;=2,
SUMPRODUCT(INDEX($AL$61:$AN$65,,$AE30), INDEX($AO$61:$AU$65,,$AD30), 1 / ($AV$61:$AV$65*CE30 + (1-$AV$61:$AV$65)*CA30), N($AK$61:$AK$65&gt;$AI30)),
SUMPRODUCT(INDEX($AL$56:$AN$65,,$AE30), INDEX($AO$56:$AU$65,,$AD30), 1 / ($AW$56:$AW$65*CE30 + (1-$AW$56:$AW$65)*CA30), N($AK$56:$AK$65&gt;$AI30))
) / 1000</f>
        <v>0</v>
      </c>
      <c r="CG30" s="50">
        <f t="shared" si="31"/>
        <v>25</v>
      </c>
      <c r="CH30" s="46">
        <f t="shared" si="32"/>
        <v>38</v>
      </c>
      <c r="CI30" s="49">
        <f t="shared" si="33"/>
        <v>4.0666935483870965</v>
      </c>
      <c r="CJ30" s="49" cm="1">
        <f t="array" ref="CJ30">$BC30 * IF($AD30&lt;=2,
SUMPRODUCT(INDEX($AL$56:$AN$60,,$AE30), INDEX($AO$56:$AU$60,,$AD30), 1 / ($AV$56:$AV$60*CI30 + (1-$AV$56:$AV$60)*CE30), N($AK$56:$AK$60&gt;$AI30)),
SUMPRODUCT(INDEX($AL$46:$AN$55,,$AE30), INDEX($AO$46:$AU$55,,$AD30), 1 / ($AW$46:$AW$55*CI30 + (1-$AW$46:$AW$55)*CE30), N($AK$46:$AK$55&gt;$AI30))
) / 1000</f>
        <v>0</v>
      </c>
      <c r="CK30" s="50">
        <f t="shared" si="34"/>
        <v>20</v>
      </c>
      <c r="CL30" s="46">
        <f t="shared" si="35"/>
        <v>33</v>
      </c>
      <c r="CM30" s="49">
        <f t="shared" si="36"/>
        <v>4.8487499999999999</v>
      </c>
      <c r="CN30" s="49" cm="1">
        <f t="array" ref="CN30">$BC30 * IF($AD30&lt;=2,
SUMPRODUCT(INDEX($AL$51:$AN$55,,$AE30), INDEX($AO$51:$AU$55,,$AD30), 1 / ($AV$51:$AV$55*CM30 + (1-$AV$51:$AV$55)*CI30), N($AK$51:$AK$55&gt;$AI30)),
SUMPRODUCT(INDEX($AL$36:$AN$45,,$AE30), INDEX($AO$36:$AU$45,,$AD30), 1 / ($AW$36:$AW$45*CM30 + (1-$AW$36:$AW$45)*CI30), N($AK$36:$AK$45&gt;$AI30))
) / 1000</f>
        <v>0</v>
      </c>
      <c r="CO30" s="49" cm="1">
        <f t="array" ref="CO30">$BC30 * IF($AD30&lt;=2,
SUMPRODUCT(INDEX($AL$12:$AN$50,,$AE30), INDEX($AO$12:$AU$50,,$AD30), 1 / ($AV$12:$AV$50*CM30), N($AK$12:$AK$50&gt;$AI30)),
SUMPRODUCT(INDEX($AL$12:$AN$35,,$AE30), INDEX($AO$12:$AU$35,,$AD30), 1 / ($AW$12:$AW$35*CM30), N($AK$12:$AK$35&gt;$AI30))
) / 1000</f>
        <v>0</v>
      </c>
      <c r="CP30" s="46">
        <f t="shared" si="37"/>
        <v>0</v>
      </c>
      <c r="CQ30" s="20"/>
    </row>
    <row r="31" spans="1:95" s="95" customFormat="1" ht="14.25" customHeight="1" x14ac:dyDescent="0.25">
      <c r="A31" s="36" t="b">
        <f t="shared" si="0"/>
        <v>0</v>
      </c>
      <c r="B31" s="94">
        <v>20</v>
      </c>
      <c r="C31" s="7"/>
      <c r="D31" s="7"/>
      <c r="E31" s="33"/>
      <c r="F31" s="8" t="str">
        <f>IF(ISBLANK(E31), "", VLOOKUP(E31, Z!$A$2:$C$4127, 3, FALSE))</f>
        <v/>
      </c>
      <c r="G31" s="44"/>
      <c r="H31" s="44"/>
      <c r="I31" s="107"/>
      <c r="J31" s="108"/>
      <c r="K31" s="34"/>
      <c r="L31" s="59"/>
      <c r="M31" s="58" t="str" cm="1">
        <f t="array" ref="M31">IF($K31&gt;0, INDEX(Clean,1+AG31,$B$1), "")</f>
        <v/>
      </c>
      <c r="N31" s="62"/>
      <c r="O31" s="62"/>
      <c r="P31" s="63"/>
      <c r="Q31" s="52">
        <f t="shared" si="7"/>
        <v>0</v>
      </c>
      <c r="R31" s="58" t="str" cm="1">
        <f t="array" ref="R31">IF($K31&gt;0, INDEX(Clean,1+AH31,$B$1), "")</f>
        <v/>
      </c>
      <c r="S31" s="62"/>
      <c r="T31" s="62"/>
      <c r="U31" s="63"/>
      <c r="V31" s="52">
        <f t="shared" si="8"/>
        <v>0</v>
      </c>
      <c r="W31" s="6"/>
      <c r="X31" s="7"/>
      <c r="Y31" s="33"/>
      <c r="Z31" s="8" t="str">
        <f>IF(ISBLANK(Y31), "", VLOOKUP(Y31, Z!$A$2:$C$4127, 3, FALSE))</f>
        <v/>
      </c>
      <c r="AA31" s="38"/>
      <c r="AB31" s="9">
        <f t="shared" si="1"/>
        <v>0</v>
      </c>
      <c r="AC31" s="20"/>
      <c r="AD31" s="41">
        <f t="shared" si="2"/>
        <v>1</v>
      </c>
      <c r="AE31" s="41">
        <f t="shared" si="3"/>
        <v>1</v>
      </c>
      <c r="AF31" s="41">
        <f t="shared" si="4"/>
        <v>0</v>
      </c>
      <c r="AG31" s="41">
        <v>1</v>
      </c>
      <c r="AH31" s="41">
        <v>0</v>
      </c>
      <c r="AI31" s="41">
        <f t="shared" si="5"/>
        <v>-100</v>
      </c>
      <c r="AJ31" s="20"/>
      <c r="AK31" s="41">
        <v>0</v>
      </c>
      <c r="AL31" s="50">
        <v>131</v>
      </c>
      <c r="AM31" s="50">
        <v>189</v>
      </c>
      <c r="AN31" s="50">
        <v>249</v>
      </c>
      <c r="AO31" s="48">
        <f t="shared" si="6"/>
        <v>0</v>
      </c>
      <c r="AP31" s="48">
        <f t="shared" si="6"/>
        <v>0</v>
      </c>
      <c r="AQ31" s="48" cm="1">
        <f t="array" ref="AQ31">MIN(INDEX(Use,AQ$10,5) + MAX(0, (1-INDEX(Use,AQ$10,5))*($AK31-5)/(35-5)), 1)</f>
        <v>0.4</v>
      </c>
      <c r="AR31" s="48" cm="1">
        <f t="array" ref="AR31">MIN(INDEX(Use,AR$10,5) + MAX(0, (1-INDEX(Use,AR$10,5))*($AK31-5)/(35-5)), 1)</f>
        <v>0.6</v>
      </c>
      <c r="AS31" s="48" cm="1">
        <f t="array" ref="AS31">MIN(INDEX(Use,AS$10,5) + MAX(0, (1-INDEX(Use,AS$10,5))*($AK31-5)/(35-5)), 1)</f>
        <v>0.8</v>
      </c>
      <c r="AT31" s="48" cm="1">
        <f t="array" ref="AT31">MIN(INDEX(Use,AT$10,5) + MAX(0, (1-INDEX(Use,AT$10,5))*($AK31-5)/(35-5)), 1)</f>
        <v>0.8</v>
      </c>
      <c r="AU31" s="48" cm="1">
        <f t="array" ref="AU31">MIN(INDEX(Use,AU$10,5) + MAX(0, (1-INDEX(Use,AU$10,5))*($AK31-5)/(35-5)), 1)</f>
        <v>0.8</v>
      </c>
      <c r="AV31" s="48">
        <v>1</v>
      </c>
      <c r="AW31" s="48">
        <v>1</v>
      </c>
      <c r="AX31" s="15"/>
      <c r="AY31" s="41" cm="1">
        <f t="array" ref="AY31">INDEX(Use, $AD31, 4)</f>
        <v>7</v>
      </c>
      <c r="AZ31" s="41">
        <f t="shared" si="9"/>
        <v>32</v>
      </c>
      <c r="BA31" s="41">
        <f t="shared" si="10"/>
        <v>13</v>
      </c>
      <c r="BB31" s="41">
        <f t="shared" si="11"/>
        <v>0</v>
      </c>
      <c r="BC31" s="57" cm="1">
        <f t="array" ref="BC31">K31/IF($L31&gt;0, INDEX($AO$12:$AU$66, $L31+20, $AD31), 1)</f>
        <v>0</v>
      </c>
      <c r="BD31" s="46">
        <f t="shared" si="12"/>
        <v>0</v>
      </c>
      <c r="BE31" s="41">
        <v>35</v>
      </c>
      <c r="BF31" s="46">
        <f t="shared" si="13"/>
        <v>52.55</v>
      </c>
      <c r="BG31" s="49">
        <f t="shared" si="14"/>
        <v>2.7676728869374316</v>
      </c>
      <c r="BH31" s="49" cm="1">
        <f t="array" ref="BH31">$BC31 * SUMPRODUCT(INDEX($AL$66:$AN$71,,$AE31),INDEX($AO$66:$AU$71,,$AD31), N($AK$66:$AK$71&gt;$AI31)) / BG31 / 1000</f>
        <v>0</v>
      </c>
      <c r="BI31" s="50">
        <f t="shared" si="15"/>
        <v>30</v>
      </c>
      <c r="BJ31" s="46">
        <f t="shared" si="16"/>
        <v>46.033333333333331</v>
      </c>
      <c r="BK31" s="49">
        <f t="shared" si="17"/>
        <v>3.2297395388556791</v>
      </c>
      <c r="BL31" s="49" cm="1">
        <f t="array" ref="BL31">$BC31 * IF($AD31&lt;=2,
SUMPRODUCT(INDEX($AL$61:$AN$65,,$AE31), INDEX($AO$61:$AU$65,,$AD31), 1 / ($AV$61:$AV$65*BK31 + (1-$AV$61:$AV$65)*BG31), N($AK$61:$AK$65&gt;$AI31)),
SUMPRODUCT(INDEX($AL$56:$AN$65,,$AE31), INDEX($AO$56:$AU$65,,$AD31), 1 / ($AW$56:$AW$65*BK31 + (1-$AW$56:$AW$65)*BG31), N($AK$56:$AK$65&gt;$AI31))
) / 1000</f>
        <v>0</v>
      </c>
      <c r="BM31" s="50">
        <f t="shared" si="18"/>
        <v>25</v>
      </c>
      <c r="BN31" s="46">
        <f t="shared" si="19"/>
        <v>39.516666666666666</v>
      </c>
      <c r="BO31" s="49">
        <f t="shared" si="20"/>
        <v>3.877011788826243</v>
      </c>
      <c r="BP31" s="49" cm="1">
        <f t="array" ref="BP31">$BC31 * IF($AD31&lt;=2,
SUMPRODUCT(INDEX($AL$56:$AN$60,,$AE31), INDEX($AO$56:$AU$60,,$AD31), 1 / ($AV$56:$AV$60*BO31 + (1-$AV$56:$AV$60)*BK31), N($AK$56:$AK$60&gt;$AI31)),
SUMPRODUCT(INDEX($AL$46:$AN$55,,$AE31), INDEX($AO$46:$AU$55,,$AD31), 1 / ($AW$46:$AW$55*BO31 + (1-$AW$46:$AW$55)*BK31), N($AK$46:$AK$55&gt;$AI31))
) / 1000</f>
        <v>0</v>
      </c>
      <c r="BQ31" s="50">
        <f t="shared" si="21"/>
        <v>20</v>
      </c>
      <c r="BR31" s="46">
        <f t="shared" si="22"/>
        <v>33</v>
      </c>
      <c r="BS31" s="49">
        <f t="shared" si="23"/>
        <v>4.8487499999999999</v>
      </c>
      <c r="BT31" s="49" cm="1">
        <f t="array" ref="BT31">$BC31 * IF($AD31&lt;=2,
SUMPRODUCT(INDEX($AL$51:$AN$55,,$AE31), INDEX($AO$51:$AU$55,,$AD31), 1 / ($AV$51:$AV$55*BS31 + (1-$AV$51:$AV$55)*BO31), N($AK$51:$AK$55&gt;$AI31)),
SUMPRODUCT(INDEX($AL$36:$AN$45,,$AE31), INDEX($AO$36:$AU$45,,$AD31), 1 / ($AW$36:$AW$45*BS31 + (1-$AW$36:$AW$45)*BO31), N($AK$36:$AK$45&gt;$AI31))
) / 1000</f>
        <v>0</v>
      </c>
      <c r="BU31" s="49" cm="1">
        <f t="array" ref="BU31">$BC31 * IF($AD31&lt;=2,
SUMPRODUCT(INDEX($AL$12:$AN$50,,$AE31), INDEX($AO$12:$AU$50,,$AD31), 1 / ($AV$12:$AV$50*BS31), N($AK$12:$AK$50&gt;$AI31)),
SUMPRODUCT(INDEX($AL$12:$AN$35,,$AE31), INDEX($AO$12:$AU$35,,$AD31), 1 / ($AW$12:$AW$35*BS31), N($AK$12:$AK$35&gt;$AI31))
) / 1000</f>
        <v>0</v>
      </c>
      <c r="BV31" s="46">
        <f t="shared" si="24"/>
        <v>0</v>
      </c>
      <c r="BW31" s="20"/>
      <c r="BX31" s="46">
        <f t="shared" si="25"/>
        <v>0</v>
      </c>
      <c r="BY31" s="41">
        <v>35</v>
      </c>
      <c r="BZ31" s="46">
        <f t="shared" si="26"/>
        <v>48</v>
      </c>
      <c r="CA31" s="49">
        <f t="shared" si="27"/>
        <v>3.0748170731707316</v>
      </c>
      <c r="CB31" s="49" cm="1">
        <f t="array" ref="CB31">$BC31 * SUMPRODUCT(INDEX($AL$66:$AN$71,,$AE31),INDEX($AO$66:$AU$71,,$AD31), N($AK$66:$AK$71&gt;$AI31)) / CA31 / 1000</f>
        <v>0</v>
      </c>
      <c r="CC31" s="50">
        <f t="shared" si="28"/>
        <v>30</v>
      </c>
      <c r="CD31" s="46">
        <f t="shared" si="29"/>
        <v>43</v>
      </c>
      <c r="CE31" s="49">
        <f t="shared" si="30"/>
        <v>3.5018750000000001</v>
      </c>
      <c r="CF31" s="49" cm="1">
        <f t="array" ref="CF31">$BC31 * IF($AD31&lt;=2,
SUMPRODUCT(INDEX($AL$61:$AN$65,,$AE31), INDEX($AO$61:$AU$65,,$AD31), 1 / ($AV$61:$AV$65*CE31 + (1-$AV$61:$AV$65)*CA31), N($AK$61:$AK$65&gt;$AI31)),
SUMPRODUCT(INDEX($AL$56:$AN$65,,$AE31), INDEX($AO$56:$AU$65,,$AD31), 1 / ($AW$56:$AW$65*CE31 + (1-$AW$56:$AW$65)*CA31), N($AK$56:$AK$65&gt;$AI31))
) / 1000</f>
        <v>0</v>
      </c>
      <c r="CG31" s="50">
        <f t="shared" si="31"/>
        <v>25</v>
      </c>
      <c r="CH31" s="46">
        <f t="shared" si="32"/>
        <v>38</v>
      </c>
      <c r="CI31" s="49">
        <f t="shared" si="33"/>
        <v>4.0666935483870965</v>
      </c>
      <c r="CJ31" s="49" cm="1">
        <f t="array" ref="CJ31">$BC31 * IF($AD31&lt;=2,
SUMPRODUCT(INDEX($AL$56:$AN$60,,$AE31), INDEX($AO$56:$AU$60,,$AD31), 1 / ($AV$56:$AV$60*CI31 + (1-$AV$56:$AV$60)*CE31), N($AK$56:$AK$60&gt;$AI31)),
SUMPRODUCT(INDEX($AL$46:$AN$55,,$AE31), INDEX($AO$46:$AU$55,,$AD31), 1 / ($AW$46:$AW$55*CI31 + (1-$AW$46:$AW$55)*CE31), N($AK$46:$AK$55&gt;$AI31))
) / 1000</f>
        <v>0</v>
      </c>
      <c r="CK31" s="50">
        <f t="shared" si="34"/>
        <v>20</v>
      </c>
      <c r="CL31" s="46">
        <f t="shared" si="35"/>
        <v>33</v>
      </c>
      <c r="CM31" s="49">
        <f t="shared" si="36"/>
        <v>4.8487499999999999</v>
      </c>
      <c r="CN31" s="49" cm="1">
        <f t="array" ref="CN31">$BC31 * IF($AD31&lt;=2,
SUMPRODUCT(INDEX($AL$51:$AN$55,,$AE31), INDEX($AO$51:$AU$55,,$AD31), 1 / ($AV$51:$AV$55*CM31 + (1-$AV$51:$AV$55)*CI31), N($AK$51:$AK$55&gt;$AI31)),
SUMPRODUCT(INDEX($AL$36:$AN$45,,$AE31), INDEX($AO$36:$AU$45,,$AD31), 1 / ($AW$36:$AW$45*CM31 + (1-$AW$36:$AW$45)*CI31), N($AK$36:$AK$45&gt;$AI31))
) / 1000</f>
        <v>0</v>
      </c>
      <c r="CO31" s="49" cm="1">
        <f t="array" ref="CO31">$BC31 * IF($AD31&lt;=2,
SUMPRODUCT(INDEX($AL$12:$AN$50,,$AE31), INDEX($AO$12:$AU$50,,$AD31), 1 / ($AV$12:$AV$50*CM31), N($AK$12:$AK$50&gt;$AI31)),
SUMPRODUCT(INDEX($AL$12:$AN$35,,$AE31), INDEX($AO$12:$AU$35,,$AD31), 1 / ($AW$12:$AW$35*CM31), N($AK$12:$AK$35&gt;$AI31))
) / 1000</f>
        <v>0</v>
      </c>
      <c r="CP31" s="46">
        <f t="shared" si="37"/>
        <v>0</v>
      </c>
      <c r="CQ31" s="20"/>
    </row>
    <row r="32" spans="1:95" s="95" customFormat="1" ht="14.25" customHeight="1" x14ac:dyDescent="0.25">
      <c r="A32" s="36" t="b">
        <f t="shared" si="0"/>
        <v>0</v>
      </c>
      <c r="B32" s="94">
        <v>21</v>
      </c>
      <c r="C32" s="7"/>
      <c r="D32" s="7"/>
      <c r="E32" s="33"/>
      <c r="F32" s="8" t="str">
        <f>IF(ISBLANK(E32), "", VLOOKUP(E32, Z!$A$2:$C$4127, 3, FALSE))</f>
        <v/>
      </c>
      <c r="G32" s="44"/>
      <c r="H32" s="44"/>
      <c r="I32" s="107"/>
      <c r="J32" s="108"/>
      <c r="K32" s="34"/>
      <c r="L32" s="59"/>
      <c r="M32" s="58" t="str" cm="1">
        <f t="array" ref="M32">IF($K32&gt;0, INDEX(Clean,1+AG32,$B$1), "")</f>
        <v/>
      </c>
      <c r="N32" s="62"/>
      <c r="O32" s="62"/>
      <c r="P32" s="63"/>
      <c r="Q32" s="52">
        <f t="shared" si="7"/>
        <v>0</v>
      </c>
      <c r="R32" s="58" t="str" cm="1">
        <f t="array" ref="R32">IF($K32&gt;0, INDEX(Clean,1+AH32,$B$1), "")</f>
        <v/>
      </c>
      <c r="S32" s="62"/>
      <c r="T32" s="62"/>
      <c r="U32" s="63"/>
      <c r="V32" s="52">
        <f t="shared" si="8"/>
        <v>0</v>
      </c>
      <c r="W32" s="6"/>
      <c r="X32" s="7"/>
      <c r="Y32" s="33"/>
      <c r="Z32" s="8" t="str">
        <f>IF(ISBLANK(Y32), "", VLOOKUP(Y32, Z!$A$2:$C$4127, 3, FALSE))</f>
        <v/>
      </c>
      <c r="AA32" s="38"/>
      <c r="AB32" s="9">
        <f t="shared" si="1"/>
        <v>0</v>
      </c>
      <c r="AC32" s="20"/>
      <c r="AD32" s="41">
        <f t="shared" si="2"/>
        <v>1</v>
      </c>
      <c r="AE32" s="41">
        <f t="shared" si="3"/>
        <v>1</v>
      </c>
      <c r="AF32" s="41">
        <f t="shared" si="4"/>
        <v>0</v>
      </c>
      <c r="AG32" s="41">
        <v>1</v>
      </c>
      <c r="AH32" s="41">
        <v>0</v>
      </c>
      <c r="AI32" s="41">
        <f t="shared" si="5"/>
        <v>-100</v>
      </c>
      <c r="AJ32" s="20"/>
      <c r="AK32" s="41">
        <v>1</v>
      </c>
      <c r="AL32" s="50">
        <v>184</v>
      </c>
      <c r="AM32" s="50">
        <v>295</v>
      </c>
      <c r="AN32" s="50">
        <v>332</v>
      </c>
      <c r="AO32" s="48">
        <f t="shared" si="6"/>
        <v>0</v>
      </c>
      <c r="AP32" s="48">
        <f t="shared" si="6"/>
        <v>0</v>
      </c>
      <c r="AQ32" s="48" cm="1">
        <f t="array" ref="AQ32">MIN(INDEX(Use,AQ$10,5) + MAX(0, (1-INDEX(Use,AQ$10,5))*($AK32-5)/(35-5)), 1)</f>
        <v>0.4</v>
      </c>
      <c r="AR32" s="48" cm="1">
        <f t="array" ref="AR32">MIN(INDEX(Use,AR$10,5) + MAX(0, (1-INDEX(Use,AR$10,5))*($AK32-5)/(35-5)), 1)</f>
        <v>0.6</v>
      </c>
      <c r="AS32" s="48" cm="1">
        <f t="array" ref="AS32">MIN(INDEX(Use,AS$10,5) + MAX(0, (1-INDEX(Use,AS$10,5))*($AK32-5)/(35-5)), 1)</f>
        <v>0.8</v>
      </c>
      <c r="AT32" s="48" cm="1">
        <f t="array" ref="AT32">MIN(INDEX(Use,AT$10,5) + MAX(0, (1-INDEX(Use,AT$10,5))*($AK32-5)/(35-5)), 1)</f>
        <v>0.8</v>
      </c>
      <c r="AU32" s="48" cm="1">
        <f t="array" ref="AU32">MIN(INDEX(Use,AU$10,5) + MAX(0, (1-INDEX(Use,AU$10,5))*($AK32-5)/(35-5)), 1)</f>
        <v>0.8</v>
      </c>
      <c r="AV32" s="48">
        <v>1</v>
      </c>
      <c r="AW32" s="48">
        <v>1</v>
      </c>
      <c r="AX32" s="15"/>
      <c r="AY32" s="41" cm="1">
        <f t="array" ref="AY32">INDEX(Use, $AD32, 4)</f>
        <v>7</v>
      </c>
      <c r="AZ32" s="41">
        <f t="shared" si="9"/>
        <v>32</v>
      </c>
      <c r="BA32" s="41">
        <f t="shared" si="10"/>
        <v>13</v>
      </c>
      <c r="BB32" s="41">
        <f t="shared" si="11"/>
        <v>0</v>
      </c>
      <c r="BC32" s="57" cm="1">
        <f t="array" ref="BC32">K32/IF($L32&gt;0, INDEX($AO$12:$AU$66, $L32+20, $AD32), 1)</f>
        <v>0</v>
      </c>
      <c r="BD32" s="46">
        <f t="shared" si="12"/>
        <v>0</v>
      </c>
      <c r="BE32" s="41">
        <v>35</v>
      </c>
      <c r="BF32" s="46">
        <f t="shared" si="13"/>
        <v>52.55</v>
      </c>
      <c r="BG32" s="49">
        <f t="shared" si="14"/>
        <v>2.7676728869374316</v>
      </c>
      <c r="BH32" s="49" cm="1">
        <f t="array" ref="BH32">$BC32 * SUMPRODUCT(INDEX($AL$66:$AN$71,,$AE32),INDEX($AO$66:$AU$71,,$AD32), N($AK$66:$AK$71&gt;$AI32)) / BG32 / 1000</f>
        <v>0</v>
      </c>
      <c r="BI32" s="50">
        <f t="shared" si="15"/>
        <v>30</v>
      </c>
      <c r="BJ32" s="46">
        <f t="shared" si="16"/>
        <v>46.033333333333331</v>
      </c>
      <c r="BK32" s="49">
        <f t="shared" si="17"/>
        <v>3.2297395388556791</v>
      </c>
      <c r="BL32" s="49" cm="1">
        <f t="array" ref="BL32">$BC32 * IF($AD32&lt;=2,
SUMPRODUCT(INDEX($AL$61:$AN$65,,$AE32), INDEX($AO$61:$AU$65,,$AD32), 1 / ($AV$61:$AV$65*BK32 + (1-$AV$61:$AV$65)*BG32), N($AK$61:$AK$65&gt;$AI32)),
SUMPRODUCT(INDEX($AL$56:$AN$65,,$AE32), INDEX($AO$56:$AU$65,,$AD32), 1 / ($AW$56:$AW$65*BK32 + (1-$AW$56:$AW$65)*BG32), N($AK$56:$AK$65&gt;$AI32))
) / 1000</f>
        <v>0</v>
      </c>
      <c r="BM32" s="50">
        <f t="shared" si="18"/>
        <v>25</v>
      </c>
      <c r="BN32" s="46">
        <f t="shared" si="19"/>
        <v>39.516666666666666</v>
      </c>
      <c r="BO32" s="49">
        <f t="shared" si="20"/>
        <v>3.877011788826243</v>
      </c>
      <c r="BP32" s="49" cm="1">
        <f t="array" ref="BP32">$BC32 * IF($AD32&lt;=2,
SUMPRODUCT(INDEX($AL$56:$AN$60,,$AE32), INDEX($AO$56:$AU$60,,$AD32), 1 / ($AV$56:$AV$60*BO32 + (1-$AV$56:$AV$60)*BK32), N($AK$56:$AK$60&gt;$AI32)),
SUMPRODUCT(INDEX($AL$46:$AN$55,,$AE32), INDEX($AO$46:$AU$55,,$AD32), 1 / ($AW$46:$AW$55*BO32 + (1-$AW$46:$AW$55)*BK32), N($AK$46:$AK$55&gt;$AI32))
) / 1000</f>
        <v>0</v>
      </c>
      <c r="BQ32" s="50">
        <f t="shared" si="21"/>
        <v>20</v>
      </c>
      <c r="BR32" s="46">
        <f t="shared" si="22"/>
        <v>33</v>
      </c>
      <c r="BS32" s="49">
        <f t="shared" si="23"/>
        <v>4.8487499999999999</v>
      </c>
      <c r="BT32" s="49" cm="1">
        <f t="array" ref="BT32">$BC32 * IF($AD32&lt;=2,
SUMPRODUCT(INDEX($AL$51:$AN$55,,$AE32), INDEX($AO$51:$AU$55,,$AD32), 1 / ($AV$51:$AV$55*BS32 + (1-$AV$51:$AV$55)*BO32), N($AK$51:$AK$55&gt;$AI32)),
SUMPRODUCT(INDEX($AL$36:$AN$45,,$AE32), INDEX($AO$36:$AU$45,,$AD32), 1 / ($AW$36:$AW$45*BS32 + (1-$AW$36:$AW$45)*BO32), N($AK$36:$AK$45&gt;$AI32))
) / 1000</f>
        <v>0</v>
      </c>
      <c r="BU32" s="49" cm="1">
        <f t="array" ref="BU32">$BC32 * IF($AD32&lt;=2,
SUMPRODUCT(INDEX($AL$12:$AN$50,,$AE32), INDEX($AO$12:$AU$50,,$AD32), 1 / ($AV$12:$AV$50*BS32), N($AK$12:$AK$50&gt;$AI32)),
SUMPRODUCT(INDEX($AL$12:$AN$35,,$AE32), INDEX($AO$12:$AU$35,,$AD32), 1 / ($AW$12:$AW$35*BS32), N($AK$12:$AK$35&gt;$AI32))
) / 1000</f>
        <v>0</v>
      </c>
      <c r="BV32" s="46">
        <f t="shared" si="24"/>
        <v>0</v>
      </c>
      <c r="BW32" s="20"/>
      <c r="BX32" s="46">
        <f t="shared" si="25"/>
        <v>0</v>
      </c>
      <c r="BY32" s="41">
        <v>35</v>
      </c>
      <c r="BZ32" s="46">
        <f t="shared" si="26"/>
        <v>48</v>
      </c>
      <c r="CA32" s="49">
        <f t="shared" si="27"/>
        <v>3.0748170731707316</v>
      </c>
      <c r="CB32" s="49" cm="1">
        <f t="array" ref="CB32">$BC32 * SUMPRODUCT(INDEX($AL$66:$AN$71,,$AE32),INDEX($AO$66:$AU$71,,$AD32), N($AK$66:$AK$71&gt;$AI32)) / CA32 / 1000</f>
        <v>0</v>
      </c>
      <c r="CC32" s="50">
        <f t="shared" si="28"/>
        <v>30</v>
      </c>
      <c r="CD32" s="46">
        <f t="shared" si="29"/>
        <v>43</v>
      </c>
      <c r="CE32" s="49">
        <f t="shared" si="30"/>
        <v>3.5018750000000001</v>
      </c>
      <c r="CF32" s="49" cm="1">
        <f t="array" ref="CF32">$BC32 * IF($AD32&lt;=2,
SUMPRODUCT(INDEX($AL$61:$AN$65,,$AE32), INDEX($AO$61:$AU$65,,$AD32), 1 / ($AV$61:$AV$65*CE32 + (1-$AV$61:$AV$65)*CA32), N($AK$61:$AK$65&gt;$AI32)),
SUMPRODUCT(INDEX($AL$56:$AN$65,,$AE32), INDEX($AO$56:$AU$65,,$AD32), 1 / ($AW$56:$AW$65*CE32 + (1-$AW$56:$AW$65)*CA32), N($AK$56:$AK$65&gt;$AI32))
) / 1000</f>
        <v>0</v>
      </c>
      <c r="CG32" s="50">
        <f t="shared" si="31"/>
        <v>25</v>
      </c>
      <c r="CH32" s="46">
        <f t="shared" si="32"/>
        <v>38</v>
      </c>
      <c r="CI32" s="49">
        <f t="shared" si="33"/>
        <v>4.0666935483870965</v>
      </c>
      <c r="CJ32" s="49" cm="1">
        <f t="array" ref="CJ32">$BC32 * IF($AD32&lt;=2,
SUMPRODUCT(INDEX($AL$56:$AN$60,,$AE32), INDEX($AO$56:$AU$60,,$AD32), 1 / ($AV$56:$AV$60*CI32 + (1-$AV$56:$AV$60)*CE32), N($AK$56:$AK$60&gt;$AI32)),
SUMPRODUCT(INDEX($AL$46:$AN$55,,$AE32), INDEX($AO$46:$AU$55,,$AD32), 1 / ($AW$46:$AW$55*CI32 + (1-$AW$46:$AW$55)*CE32), N($AK$46:$AK$55&gt;$AI32))
) / 1000</f>
        <v>0</v>
      </c>
      <c r="CK32" s="50">
        <f t="shared" si="34"/>
        <v>20</v>
      </c>
      <c r="CL32" s="46">
        <f t="shared" si="35"/>
        <v>33</v>
      </c>
      <c r="CM32" s="49">
        <f t="shared" si="36"/>
        <v>4.8487499999999999</v>
      </c>
      <c r="CN32" s="49" cm="1">
        <f t="array" ref="CN32">$BC32 * IF($AD32&lt;=2,
SUMPRODUCT(INDEX($AL$51:$AN$55,,$AE32), INDEX($AO$51:$AU$55,,$AD32), 1 / ($AV$51:$AV$55*CM32 + (1-$AV$51:$AV$55)*CI32), N($AK$51:$AK$55&gt;$AI32)),
SUMPRODUCT(INDEX($AL$36:$AN$45,,$AE32), INDEX($AO$36:$AU$45,,$AD32), 1 / ($AW$36:$AW$45*CM32 + (1-$AW$36:$AW$45)*CI32), N($AK$36:$AK$45&gt;$AI32))
) / 1000</f>
        <v>0</v>
      </c>
      <c r="CO32" s="49" cm="1">
        <f t="array" ref="CO32">$BC32 * IF($AD32&lt;=2,
SUMPRODUCT(INDEX($AL$12:$AN$50,,$AE32), INDEX($AO$12:$AU$50,,$AD32), 1 / ($AV$12:$AV$50*CM32), N($AK$12:$AK$50&gt;$AI32)),
SUMPRODUCT(INDEX($AL$12:$AN$35,,$AE32), INDEX($AO$12:$AU$35,,$AD32), 1 / ($AW$12:$AW$35*CM32), N($AK$12:$AK$35&gt;$AI32))
) / 1000</f>
        <v>0</v>
      </c>
      <c r="CP32" s="46">
        <f t="shared" si="37"/>
        <v>0</v>
      </c>
      <c r="CQ32" s="20"/>
    </row>
    <row r="33" spans="1:95" s="95" customFormat="1" ht="14.25" customHeight="1" x14ac:dyDescent="0.25">
      <c r="A33" s="36" t="b">
        <f t="shared" si="0"/>
        <v>0</v>
      </c>
      <c r="B33" s="94">
        <v>22</v>
      </c>
      <c r="C33" s="7"/>
      <c r="D33" s="7"/>
      <c r="E33" s="33"/>
      <c r="F33" s="8" t="str">
        <f>IF(ISBLANK(E33), "", VLOOKUP(E33, Z!$A$2:$C$4127, 3, FALSE))</f>
        <v/>
      </c>
      <c r="G33" s="44"/>
      <c r="H33" s="44"/>
      <c r="I33" s="107"/>
      <c r="J33" s="108"/>
      <c r="K33" s="34"/>
      <c r="L33" s="59"/>
      <c r="M33" s="58" t="str" cm="1">
        <f t="array" ref="M33">IF($K33&gt;0, INDEX(Clean,1+AG33,$B$1), "")</f>
        <v/>
      </c>
      <c r="N33" s="62"/>
      <c r="O33" s="62"/>
      <c r="P33" s="63"/>
      <c r="Q33" s="52">
        <f t="shared" si="7"/>
        <v>0</v>
      </c>
      <c r="R33" s="58" t="str" cm="1">
        <f t="array" ref="R33">IF($K33&gt;0, INDEX(Clean,1+AH33,$B$1), "")</f>
        <v/>
      </c>
      <c r="S33" s="62"/>
      <c r="T33" s="62"/>
      <c r="U33" s="63"/>
      <c r="V33" s="52">
        <f t="shared" si="8"/>
        <v>0</v>
      </c>
      <c r="W33" s="6"/>
      <c r="X33" s="7"/>
      <c r="Y33" s="33"/>
      <c r="Z33" s="8" t="str">
        <f>IF(ISBLANK(Y33), "", VLOOKUP(Y33, Z!$A$2:$C$4127, 3, FALSE))</f>
        <v/>
      </c>
      <c r="AA33" s="38"/>
      <c r="AB33" s="9">
        <f t="shared" si="1"/>
        <v>0</v>
      </c>
      <c r="AC33" s="20"/>
      <c r="AD33" s="41">
        <f t="shared" si="2"/>
        <v>1</v>
      </c>
      <c r="AE33" s="41">
        <f t="shared" si="3"/>
        <v>1</v>
      </c>
      <c r="AF33" s="41">
        <f t="shared" si="4"/>
        <v>0</v>
      </c>
      <c r="AG33" s="41">
        <v>1</v>
      </c>
      <c r="AH33" s="41">
        <v>0</v>
      </c>
      <c r="AI33" s="41">
        <f t="shared" si="5"/>
        <v>-100</v>
      </c>
      <c r="AJ33" s="20"/>
      <c r="AK33" s="41">
        <v>2</v>
      </c>
      <c r="AL33" s="50">
        <v>281</v>
      </c>
      <c r="AM33" s="50">
        <v>289</v>
      </c>
      <c r="AN33" s="50">
        <v>381</v>
      </c>
      <c r="AO33" s="48">
        <f t="shared" si="6"/>
        <v>0</v>
      </c>
      <c r="AP33" s="48">
        <f t="shared" si="6"/>
        <v>0</v>
      </c>
      <c r="AQ33" s="48" cm="1">
        <f t="array" ref="AQ33">MIN(INDEX(Use,AQ$10,5) + MAX(0, (1-INDEX(Use,AQ$10,5))*($AK33-5)/(35-5)), 1)</f>
        <v>0.4</v>
      </c>
      <c r="AR33" s="48" cm="1">
        <f t="array" ref="AR33">MIN(INDEX(Use,AR$10,5) + MAX(0, (1-INDEX(Use,AR$10,5))*($AK33-5)/(35-5)), 1)</f>
        <v>0.6</v>
      </c>
      <c r="AS33" s="48" cm="1">
        <f t="array" ref="AS33">MIN(INDEX(Use,AS$10,5) + MAX(0, (1-INDEX(Use,AS$10,5))*($AK33-5)/(35-5)), 1)</f>
        <v>0.8</v>
      </c>
      <c r="AT33" s="48" cm="1">
        <f t="array" ref="AT33">MIN(INDEX(Use,AT$10,5) + MAX(0, (1-INDEX(Use,AT$10,5))*($AK33-5)/(35-5)), 1)</f>
        <v>0.8</v>
      </c>
      <c r="AU33" s="48" cm="1">
        <f t="array" ref="AU33">MIN(INDEX(Use,AU$10,5) + MAX(0, (1-INDEX(Use,AU$10,5))*($AK33-5)/(35-5)), 1)</f>
        <v>0.8</v>
      </c>
      <c r="AV33" s="48">
        <v>1</v>
      </c>
      <c r="AW33" s="48">
        <v>1</v>
      </c>
      <c r="AX33" s="15"/>
      <c r="AY33" s="41" cm="1">
        <f t="array" ref="AY33">INDEX(Use, $AD33, 4)</f>
        <v>7</v>
      </c>
      <c r="AZ33" s="41">
        <f t="shared" si="9"/>
        <v>32</v>
      </c>
      <c r="BA33" s="41">
        <f t="shared" si="10"/>
        <v>13</v>
      </c>
      <c r="BB33" s="41">
        <f t="shared" si="11"/>
        <v>0</v>
      </c>
      <c r="BC33" s="57" cm="1">
        <f t="array" ref="BC33">K33/IF($L33&gt;0, INDEX($AO$12:$AU$66, $L33+20, $AD33), 1)</f>
        <v>0</v>
      </c>
      <c r="BD33" s="46">
        <f t="shared" si="12"/>
        <v>0</v>
      </c>
      <c r="BE33" s="41">
        <v>35</v>
      </c>
      <c r="BF33" s="46">
        <f t="shared" si="13"/>
        <v>52.55</v>
      </c>
      <c r="BG33" s="49">
        <f t="shared" si="14"/>
        <v>2.7676728869374316</v>
      </c>
      <c r="BH33" s="49" cm="1">
        <f t="array" ref="BH33">$BC33 * SUMPRODUCT(INDEX($AL$66:$AN$71,,$AE33),INDEX($AO$66:$AU$71,,$AD33), N($AK$66:$AK$71&gt;$AI33)) / BG33 / 1000</f>
        <v>0</v>
      </c>
      <c r="BI33" s="50">
        <f t="shared" si="15"/>
        <v>30</v>
      </c>
      <c r="BJ33" s="46">
        <f t="shared" si="16"/>
        <v>46.033333333333331</v>
      </c>
      <c r="BK33" s="49">
        <f t="shared" si="17"/>
        <v>3.2297395388556791</v>
      </c>
      <c r="BL33" s="49" cm="1">
        <f t="array" ref="BL33">$BC33 * IF($AD33&lt;=2,
SUMPRODUCT(INDEX($AL$61:$AN$65,,$AE33), INDEX($AO$61:$AU$65,,$AD33), 1 / ($AV$61:$AV$65*BK33 + (1-$AV$61:$AV$65)*BG33), N($AK$61:$AK$65&gt;$AI33)),
SUMPRODUCT(INDEX($AL$56:$AN$65,,$AE33), INDEX($AO$56:$AU$65,,$AD33), 1 / ($AW$56:$AW$65*BK33 + (1-$AW$56:$AW$65)*BG33), N($AK$56:$AK$65&gt;$AI33))
) / 1000</f>
        <v>0</v>
      </c>
      <c r="BM33" s="50">
        <f t="shared" si="18"/>
        <v>25</v>
      </c>
      <c r="BN33" s="46">
        <f t="shared" si="19"/>
        <v>39.516666666666666</v>
      </c>
      <c r="BO33" s="49">
        <f t="shared" si="20"/>
        <v>3.877011788826243</v>
      </c>
      <c r="BP33" s="49" cm="1">
        <f t="array" ref="BP33">$BC33 * IF($AD33&lt;=2,
SUMPRODUCT(INDEX($AL$56:$AN$60,,$AE33), INDEX($AO$56:$AU$60,,$AD33), 1 / ($AV$56:$AV$60*BO33 + (1-$AV$56:$AV$60)*BK33), N($AK$56:$AK$60&gt;$AI33)),
SUMPRODUCT(INDEX($AL$46:$AN$55,,$AE33), INDEX($AO$46:$AU$55,,$AD33), 1 / ($AW$46:$AW$55*BO33 + (1-$AW$46:$AW$55)*BK33), N($AK$46:$AK$55&gt;$AI33))
) / 1000</f>
        <v>0</v>
      </c>
      <c r="BQ33" s="50">
        <f t="shared" si="21"/>
        <v>20</v>
      </c>
      <c r="BR33" s="46">
        <f t="shared" si="22"/>
        <v>33</v>
      </c>
      <c r="BS33" s="49">
        <f t="shared" si="23"/>
        <v>4.8487499999999999</v>
      </c>
      <c r="BT33" s="49" cm="1">
        <f t="array" ref="BT33">$BC33 * IF($AD33&lt;=2,
SUMPRODUCT(INDEX($AL$51:$AN$55,,$AE33), INDEX($AO$51:$AU$55,,$AD33), 1 / ($AV$51:$AV$55*BS33 + (1-$AV$51:$AV$55)*BO33), N($AK$51:$AK$55&gt;$AI33)),
SUMPRODUCT(INDEX($AL$36:$AN$45,,$AE33), INDEX($AO$36:$AU$45,,$AD33), 1 / ($AW$36:$AW$45*BS33 + (1-$AW$36:$AW$45)*BO33), N($AK$36:$AK$45&gt;$AI33))
) / 1000</f>
        <v>0</v>
      </c>
      <c r="BU33" s="49" cm="1">
        <f t="array" ref="BU33">$BC33 * IF($AD33&lt;=2,
SUMPRODUCT(INDEX($AL$12:$AN$50,,$AE33), INDEX($AO$12:$AU$50,,$AD33), 1 / ($AV$12:$AV$50*BS33), N($AK$12:$AK$50&gt;$AI33)),
SUMPRODUCT(INDEX($AL$12:$AN$35,,$AE33), INDEX($AO$12:$AU$35,,$AD33), 1 / ($AW$12:$AW$35*BS33), N($AK$12:$AK$35&gt;$AI33))
) / 1000</f>
        <v>0</v>
      </c>
      <c r="BV33" s="46">
        <f t="shared" si="24"/>
        <v>0</v>
      </c>
      <c r="BW33" s="20"/>
      <c r="BX33" s="46">
        <f t="shared" si="25"/>
        <v>0</v>
      </c>
      <c r="BY33" s="41">
        <v>35</v>
      </c>
      <c r="BZ33" s="46">
        <f t="shared" si="26"/>
        <v>48</v>
      </c>
      <c r="CA33" s="49">
        <f t="shared" si="27"/>
        <v>3.0748170731707316</v>
      </c>
      <c r="CB33" s="49" cm="1">
        <f t="array" ref="CB33">$BC33 * SUMPRODUCT(INDEX($AL$66:$AN$71,,$AE33),INDEX($AO$66:$AU$71,,$AD33), N($AK$66:$AK$71&gt;$AI33)) / CA33 / 1000</f>
        <v>0</v>
      </c>
      <c r="CC33" s="50">
        <f t="shared" si="28"/>
        <v>30</v>
      </c>
      <c r="CD33" s="46">
        <f t="shared" si="29"/>
        <v>43</v>
      </c>
      <c r="CE33" s="49">
        <f t="shared" si="30"/>
        <v>3.5018750000000001</v>
      </c>
      <c r="CF33" s="49" cm="1">
        <f t="array" ref="CF33">$BC33 * IF($AD33&lt;=2,
SUMPRODUCT(INDEX($AL$61:$AN$65,,$AE33), INDEX($AO$61:$AU$65,,$AD33), 1 / ($AV$61:$AV$65*CE33 + (1-$AV$61:$AV$65)*CA33), N($AK$61:$AK$65&gt;$AI33)),
SUMPRODUCT(INDEX($AL$56:$AN$65,,$AE33), INDEX($AO$56:$AU$65,,$AD33), 1 / ($AW$56:$AW$65*CE33 + (1-$AW$56:$AW$65)*CA33), N($AK$56:$AK$65&gt;$AI33))
) / 1000</f>
        <v>0</v>
      </c>
      <c r="CG33" s="50">
        <f t="shared" si="31"/>
        <v>25</v>
      </c>
      <c r="CH33" s="46">
        <f t="shared" si="32"/>
        <v>38</v>
      </c>
      <c r="CI33" s="49">
        <f t="shared" si="33"/>
        <v>4.0666935483870965</v>
      </c>
      <c r="CJ33" s="49" cm="1">
        <f t="array" ref="CJ33">$BC33 * IF($AD33&lt;=2,
SUMPRODUCT(INDEX($AL$56:$AN$60,,$AE33), INDEX($AO$56:$AU$60,,$AD33), 1 / ($AV$56:$AV$60*CI33 + (1-$AV$56:$AV$60)*CE33), N($AK$56:$AK$60&gt;$AI33)),
SUMPRODUCT(INDEX($AL$46:$AN$55,,$AE33), INDEX($AO$46:$AU$55,,$AD33), 1 / ($AW$46:$AW$55*CI33 + (1-$AW$46:$AW$55)*CE33), N($AK$46:$AK$55&gt;$AI33))
) / 1000</f>
        <v>0</v>
      </c>
      <c r="CK33" s="50">
        <f t="shared" si="34"/>
        <v>20</v>
      </c>
      <c r="CL33" s="46">
        <f t="shared" si="35"/>
        <v>33</v>
      </c>
      <c r="CM33" s="49">
        <f t="shared" si="36"/>
        <v>4.8487499999999999</v>
      </c>
      <c r="CN33" s="49" cm="1">
        <f t="array" ref="CN33">$BC33 * IF($AD33&lt;=2,
SUMPRODUCT(INDEX($AL$51:$AN$55,,$AE33), INDEX($AO$51:$AU$55,,$AD33), 1 / ($AV$51:$AV$55*CM33 + (1-$AV$51:$AV$55)*CI33), N($AK$51:$AK$55&gt;$AI33)),
SUMPRODUCT(INDEX($AL$36:$AN$45,,$AE33), INDEX($AO$36:$AU$45,,$AD33), 1 / ($AW$36:$AW$45*CM33 + (1-$AW$36:$AW$45)*CI33), N($AK$36:$AK$45&gt;$AI33))
) / 1000</f>
        <v>0</v>
      </c>
      <c r="CO33" s="49" cm="1">
        <f t="array" ref="CO33">$BC33 * IF($AD33&lt;=2,
SUMPRODUCT(INDEX($AL$12:$AN$50,,$AE33), INDEX($AO$12:$AU$50,,$AD33), 1 / ($AV$12:$AV$50*CM33), N($AK$12:$AK$50&gt;$AI33)),
SUMPRODUCT(INDEX($AL$12:$AN$35,,$AE33), INDEX($AO$12:$AU$35,,$AD33), 1 / ($AW$12:$AW$35*CM33), N($AK$12:$AK$35&gt;$AI33))
) / 1000</f>
        <v>0</v>
      </c>
      <c r="CP33" s="46">
        <f t="shared" si="37"/>
        <v>0</v>
      </c>
      <c r="CQ33" s="20"/>
    </row>
    <row r="34" spans="1:95" s="95" customFormat="1" ht="14.25" customHeight="1" x14ac:dyDescent="0.25">
      <c r="A34" s="36" t="b">
        <f t="shared" si="0"/>
        <v>0</v>
      </c>
      <c r="B34" s="94">
        <v>23</v>
      </c>
      <c r="C34" s="7"/>
      <c r="D34" s="7"/>
      <c r="E34" s="33"/>
      <c r="F34" s="8" t="str">
        <f>IF(ISBLANK(E34), "", VLOOKUP(E34, Z!$A$2:$C$4127, 3, FALSE))</f>
        <v/>
      </c>
      <c r="G34" s="44"/>
      <c r="H34" s="44"/>
      <c r="I34" s="107"/>
      <c r="J34" s="108"/>
      <c r="K34" s="34"/>
      <c r="L34" s="59"/>
      <c r="M34" s="58" t="str" cm="1">
        <f t="array" ref="M34">IF($K34&gt;0, INDEX(Clean,1+AG34,$B$1), "")</f>
        <v/>
      </c>
      <c r="N34" s="62"/>
      <c r="O34" s="62"/>
      <c r="P34" s="63"/>
      <c r="Q34" s="52">
        <f t="shared" si="7"/>
        <v>0</v>
      </c>
      <c r="R34" s="58" t="str" cm="1">
        <f t="array" ref="R34">IF($K34&gt;0, INDEX(Clean,1+AH34,$B$1), "")</f>
        <v/>
      </c>
      <c r="S34" s="62"/>
      <c r="T34" s="62"/>
      <c r="U34" s="63"/>
      <c r="V34" s="52">
        <f t="shared" si="8"/>
        <v>0</v>
      </c>
      <c r="W34" s="6"/>
      <c r="X34" s="7"/>
      <c r="Y34" s="33"/>
      <c r="Z34" s="8" t="str">
        <f>IF(ISBLANK(Y34), "", VLOOKUP(Y34, Z!$A$2:$C$4127, 3, FALSE))</f>
        <v/>
      </c>
      <c r="AA34" s="38"/>
      <c r="AB34" s="9">
        <f t="shared" si="1"/>
        <v>0</v>
      </c>
      <c r="AC34" s="20"/>
      <c r="AD34" s="41">
        <f t="shared" si="2"/>
        <v>1</v>
      </c>
      <c r="AE34" s="41">
        <f t="shared" si="3"/>
        <v>1</v>
      </c>
      <c r="AF34" s="41">
        <f t="shared" si="4"/>
        <v>0</v>
      </c>
      <c r="AG34" s="41">
        <v>1</v>
      </c>
      <c r="AH34" s="41">
        <v>0</v>
      </c>
      <c r="AI34" s="41">
        <f t="shared" si="5"/>
        <v>-100</v>
      </c>
      <c r="AJ34" s="20"/>
      <c r="AK34" s="41">
        <v>3</v>
      </c>
      <c r="AL34" s="50">
        <v>328</v>
      </c>
      <c r="AM34" s="50">
        <v>346</v>
      </c>
      <c r="AN34" s="50">
        <v>451</v>
      </c>
      <c r="AO34" s="48">
        <f t="shared" si="6"/>
        <v>0</v>
      </c>
      <c r="AP34" s="48">
        <f t="shared" si="6"/>
        <v>0</v>
      </c>
      <c r="AQ34" s="48" cm="1">
        <f t="array" ref="AQ34">MIN(INDEX(Use,AQ$10,5) + MAX(0, (1-INDEX(Use,AQ$10,5))*($AK34-5)/(35-5)), 1)</f>
        <v>0.4</v>
      </c>
      <c r="AR34" s="48" cm="1">
        <f t="array" ref="AR34">MIN(INDEX(Use,AR$10,5) + MAX(0, (1-INDEX(Use,AR$10,5))*($AK34-5)/(35-5)), 1)</f>
        <v>0.6</v>
      </c>
      <c r="AS34" s="48" cm="1">
        <f t="array" ref="AS34">MIN(INDEX(Use,AS$10,5) + MAX(0, (1-INDEX(Use,AS$10,5))*($AK34-5)/(35-5)), 1)</f>
        <v>0.8</v>
      </c>
      <c r="AT34" s="48" cm="1">
        <f t="array" ref="AT34">MIN(INDEX(Use,AT$10,5) + MAX(0, (1-INDEX(Use,AT$10,5))*($AK34-5)/(35-5)), 1)</f>
        <v>0.8</v>
      </c>
      <c r="AU34" s="48" cm="1">
        <f t="array" ref="AU34">MIN(INDEX(Use,AU$10,5) + MAX(0, (1-INDEX(Use,AU$10,5))*($AK34-5)/(35-5)), 1)</f>
        <v>0.8</v>
      </c>
      <c r="AV34" s="48">
        <v>1</v>
      </c>
      <c r="AW34" s="48">
        <v>1</v>
      </c>
      <c r="AX34" s="15"/>
      <c r="AY34" s="41" cm="1">
        <f t="array" ref="AY34">INDEX(Use, $AD34, 4)</f>
        <v>7</v>
      </c>
      <c r="AZ34" s="41">
        <f t="shared" si="9"/>
        <v>32</v>
      </c>
      <c r="BA34" s="41">
        <f t="shared" si="10"/>
        <v>13</v>
      </c>
      <c r="BB34" s="41">
        <f t="shared" si="11"/>
        <v>0</v>
      </c>
      <c r="BC34" s="57" cm="1">
        <f t="array" ref="BC34">K34/IF($L34&gt;0, INDEX($AO$12:$AU$66, $L34+20, $AD34), 1)</f>
        <v>0</v>
      </c>
      <c r="BD34" s="46">
        <f t="shared" si="12"/>
        <v>0</v>
      </c>
      <c r="BE34" s="41">
        <v>35</v>
      </c>
      <c r="BF34" s="46">
        <f t="shared" si="13"/>
        <v>52.55</v>
      </c>
      <c r="BG34" s="49">
        <f t="shared" si="14"/>
        <v>2.7676728869374316</v>
      </c>
      <c r="BH34" s="49" cm="1">
        <f t="array" ref="BH34">$BC34 * SUMPRODUCT(INDEX($AL$66:$AN$71,,$AE34),INDEX($AO$66:$AU$71,,$AD34), N($AK$66:$AK$71&gt;$AI34)) / BG34 / 1000</f>
        <v>0</v>
      </c>
      <c r="BI34" s="50">
        <f t="shared" si="15"/>
        <v>30</v>
      </c>
      <c r="BJ34" s="46">
        <f t="shared" si="16"/>
        <v>46.033333333333331</v>
      </c>
      <c r="BK34" s="49">
        <f t="shared" si="17"/>
        <v>3.2297395388556791</v>
      </c>
      <c r="BL34" s="49" cm="1">
        <f t="array" ref="BL34">$BC34 * IF($AD34&lt;=2,
SUMPRODUCT(INDEX($AL$61:$AN$65,,$AE34), INDEX($AO$61:$AU$65,,$AD34), 1 / ($AV$61:$AV$65*BK34 + (1-$AV$61:$AV$65)*BG34), N($AK$61:$AK$65&gt;$AI34)),
SUMPRODUCT(INDEX($AL$56:$AN$65,,$AE34), INDEX($AO$56:$AU$65,,$AD34), 1 / ($AW$56:$AW$65*BK34 + (1-$AW$56:$AW$65)*BG34), N($AK$56:$AK$65&gt;$AI34))
) / 1000</f>
        <v>0</v>
      </c>
      <c r="BM34" s="50">
        <f t="shared" si="18"/>
        <v>25</v>
      </c>
      <c r="BN34" s="46">
        <f t="shared" si="19"/>
        <v>39.516666666666666</v>
      </c>
      <c r="BO34" s="49">
        <f t="shared" si="20"/>
        <v>3.877011788826243</v>
      </c>
      <c r="BP34" s="49" cm="1">
        <f t="array" ref="BP34">$BC34 * IF($AD34&lt;=2,
SUMPRODUCT(INDEX($AL$56:$AN$60,,$AE34), INDEX($AO$56:$AU$60,,$AD34), 1 / ($AV$56:$AV$60*BO34 + (1-$AV$56:$AV$60)*BK34), N($AK$56:$AK$60&gt;$AI34)),
SUMPRODUCT(INDEX($AL$46:$AN$55,,$AE34), INDEX($AO$46:$AU$55,,$AD34), 1 / ($AW$46:$AW$55*BO34 + (1-$AW$46:$AW$55)*BK34), N($AK$46:$AK$55&gt;$AI34))
) / 1000</f>
        <v>0</v>
      </c>
      <c r="BQ34" s="50">
        <f t="shared" si="21"/>
        <v>20</v>
      </c>
      <c r="BR34" s="46">
        <f t="shared" si="22"/>
        <v>33</v>
      </c>
      <c r="BS34" s="49">
        <f t="shared" si="23"/>
        <v>4.8487499999999999</v>
      </c>
      <c r="BT34" s="49" cm="1">
        <f t="array" ref="BT34">$BC34 * IF($AD34&lt;=2,
SUMPRODUCT(INDEX($AL$51:$AN$55,,$AE34), INDEX($AO$51:$AU$55,,$AD34), 1 / ($AV$51:$AV$55*BS34 + (1-$AV$51:$AV$55)*BO34), N($AK$51:$AK$55&gt;$AI34)),
SUMPRODUCT(INDEX($AL$36:$AN$45,,$AE34), INDEX($AO$36:$AU$45,,$AD34), 1 / ($AW$36:$AW$45*BS34 + (1-$AW$36:$AW$45)*BO34), N($AK$36:$AK$45&gt;$AI34))
) / 1000</f>
        <v>0</v>
      </c>
      <c r="BU34" s="49" cm="1">
        <f t="array" ref="BU34">$BC34 * IF($AD34&lt;=2,
SUMPRODUCT(INDEX($AL$12:$AN$50,,$AE34), INDEX($AO$12:$AU$50,,$AD34), 1 / ($AV$12:$AV$50*BS34), N($AK$12:$AK$50&gt;$AI34)),
SUMPRODUCT(INDEX($AL$12:$AN$35,,$AE34), INDEX($AO$12:$AU$35,,$AD34), 1 / ($AW$12:$AW$35*BS34), N($AK$12:$AK$35&gt;$AI34))
) / 1000</f>
        <v>0</v>
      </c>
      <c r="BV34" s="46">
        <f t="shared" si="24"/>
        <v>0</v>
      </c>
      <c r="BW34" s="20"/>
      <c r="BX34" s="46">
        <f t="shared" si="25"/>
        <v>0</v>
      </c>
      <c r="BY34" s="41">
        <v>35</v>
      </c>
      <c r="BZ34" s="46">
        <f t="shared" si="26"/>
        <v>48</v>
      </c>
      <c r="CA34" s="49">
        <f t="shared" si="27"/>
        <v>3.0748170731707316</v>
      </c>
      <c r="CB34" s="49" cm="1">
        <f t="array" ref="CB34">$BC34 * SUMPRODUCT(INDEX($AL$66:$AN$71,,$AE34),INDEX($AO$66:$AU$71,,$AD34), N($AK$66:$AK$71&gt;$AI34)) / CA34 / 1000</f>
        <v>0</v>
      </c>
      <c r="CC34" s="50">
        <f t="shared" si="28"/>
        <v>30</v>
      </c>
      <c r="CD34" s="46">
        <f t="shared" si="29"/>
        <v>43</v>
      </c>
      <c r="CE34" s="49">
        <f t="shared" si="30"/>
        <v>3.5018750000000001</v>
      </c>
      <c r="CF34" s="49" cm="1">
        <f t="array" ref="CF34">$BC34 * IF($AD34&lt;=2,
SUMPRODUCT(INDEX($AL$61:$AN$65,,$AE34), INDEX($AO$61:$AU$65,,$AD34), 1 / ($AV$61:$AV$65*CE34 + (1-$AV$61:$AV$65)*CA34), N($AK$61:$AK$65&gt;$AI34)),
SUMPRODUCT(INDEX($AL$56:$AN$65,,$AE34), INDEX($AO$56:$AU$65,,$AD34), 1 / ($AW$56:$AW$65*CE34 + (1-$AW$56:$AW$65)*CA34), N($AK$56:$AK$65&gt;$AI34))
) / 1000</f>
        <v>0</v>
      </c>
      <c r="CG34" s="50">
        <f t="shared" si="31"/>
        <v>25</v>
      </c>
      <c r="CH34" s="46">
        <f t="shared" si="32"/>
        <v>38</v>
      </c>
      <c r="CI34" s="49">
        <f t="shared" si="33"/>
        <v>4.0666935483870965</v>
      </c>
      <c r="CJ34" s="49" cm="1">
        <f t="array" ref="CJ34">$BC34 * IF($AD34&lt;=2,
SUMPRODUCT(INDEX($AL$56:$AN$60,,$AE34), INDEX($AO$56:$AU$60,,$AD34), 1 / ($AV$56:$AV$60*CI34 + (1-$AV$56:$AV$60)*CE34), N($AK$56:$AK$60&gt;$AI34)),
SUMPRODUCT(INDEX($AL$46:$AN$55,,$AE34), INDEX($AO$46:$AU$55,,$AD34), 1 / ($AW$46:$AW$55*CI34 + (1-$AW$46:$AW$55)*CE34), N($AK$46:$AK$55&gt;$AI34))
) / 1000</f>
        <v>0</v>
      </c>
      <c r="CK34" s="50">
        <f t="shared" si="34"/>
        <v>20</v>
      </c>
      <c r="CL34" s="46">
        <f t="shared" si="35"/>
        <v>33</v>
      </c>
      <c r="CM34" s="49">
        <f t="shared" si="36"/>
        <v>4.8487499999999999</v>
      </c>
      <c r="CN34" s="49" cm="1">
        <f t="array" ref="CN34">$BC34 * IF($AD34&lt;=2,
SUMPRODUCT(INDEX($AL$51:$AN$55,,$AE34), INDEX($AO$51:$AU$55,,$AD34), 1 / ($AV$51:$AV$55*CM34 + (1-$AV$51:$AV$55)*CI34), N($AK$51:$AK$55&gt;$AI34)),
SUMPRODUCT(INDEX($AL$36:$AN$45,,$AE34), INDEX($AO$36:$AU$45,,$AD34), 1 / ($AW$36:$AW$45*CM34 + (1-$AW$36:$AW$45)*CI34), N($AK$36:$AK$45&gt;$AI34))
) / 1000</f>
        <v>0</v>
      </c>
      <c r="CO34" s="49" cm="1">
        <f t="array" ref="CO34">$BC34 * IF($AD34&lt;=2,
SUMPRODUCT(INDEX($AL$12:$AN$50,,$AE34), INDEX($AO$12:$AU$50,,$AD34), 1 / ($AV$12:$AV$50*CM34), N($AK$12:$AK$50&gt;$AI34)),
SUMPRODUCT(INDEX($AL$12:$AN$35,,$AE34), INDEX($AO$12:$AU$35,,$AD34), 1 / ($AW$12:$AW$35*CM34), N($AK$12:$AK$35&gt;$AI34))
) / 1000</f>
        <v>0</v>
      </c>
      <c r="CP34" s="46">
        <f t="shared" si="37"/>
        <v>0</v>
      </c>
      <c r="CQ34" s="20"/>
    </row>
    <row r="35" spans="1:95" s="95" customFormat="1" ht="14.25" customHeight="1" x14ac:dyDescent="0.25">
      <c r="A35" s="36" t="b">
        <f t="shared" si="0"/>
        <v>0</v>
      </c>
      <c r="B35" s="94">
        <v>24</v>
      </c>
      <c r="C35" s="7"/>
      <c r="D35" s="7"/>
      <c r="E35" s="33"/>
      <c r="F35" s="8" t="str">
        <f>IF(ISBLANK(E35), "", VLOOKUP(E35, Z!$A$2:$C$4127, 3, FALSE))</f>
        <v/>
      </c>
      <c r="G35" s="44"/>
      <c r="H35" s="44"/>
      <c r="I35" s="107"/>
      <c r="J35" s="108"/>
      <c r="K35" s="34"/>
      <c r="L35" s="59"/>
      <c r="M35" s="58" t="str" cm="1">
        <f t="array" ref="M35">IF($K35&gt;0, INDEX(Clean,1+AG35,$B$1), "")</f>
        <v/>
      </c>
      <c r="N35" s="62"/>
      <c r="O35" s="62"/>
      <c r="P35" s="63"/>
      <c r="Q35" s="52">
        <f t="shared" si="7"/>
        <v>0</v>
      </c>
      <c r="R35" s="58" t="str" cm="1">
        <f t="array" ref="R35">IF($K35&gt;0, INDEX(Clean,1+AH35,$B$1), "")</f>
        <v/>
      </c>
      <c r="S35" s="62"/>
      <c r="T35" s="62"/>
      <c r="U35" s="63"/>
      <c r="V35" s="52">
        <f t="shared" si="8"/>
        <v>0</v>
      </c>
      <c r="W35" s="6"/>
      <c r="X35" s="7"/>
      <c r="Y35" s="33"/>
      <c r="Z35" s="8" t="str">
        <f>IF(ISBLANK(Y35), "", VLOOKUP(Y35, Z!$A$2:$C$4127, 3, FALSE))</f>
        <v/>
      </c>
      <c r="AA35" s="38"/>
      <c r="AB35" s="9">
        <f t="shared" si="1"/>
        <v>0</v>
      </c>
      <c r="AC35" s="20"/>
      <c r="AD35" s="41">
        <f t="shared" si="2"/>
        <v>1</v>
      </c>
      <c r="AE35" s="41">
        <f t="shared" si="3"/>
        <v>1</v>
      </c>
      <c r="AF35" s="41">
        <f t="shared" si="4"/>
        <v>0</v>
      </c>
      <c r="AG35" s="41">
        <v>1</v>
      </c>
      <c r="AH35" s="41">
        <v>0</v>
      </c>
      <c r="AI35" s="41">
        <f t="shared" si="5"/>
        <v>-100</v>
      </c>
      <c r="AJ35" s="20"/>
      <c r="AK35" s="41">
        <v>4</v>
      </c>
      <c r="AL35" s="50">
        <v>349</v>
      </c>
      <c r="AM35" s="50">
        <v>359</v>
      </c>
      <c r="AN35" s="50">
        <v>459</v>
      </c>
      <c r="AO35" s="48">
        <f t="shared" si="6"/>
        <v>0</v>
      </c>
      <c r="AP35" s="48">
        <f t="shared" si="6"/>
        <v>0</v>
      </c>
      <c r="AQ35" s="48" cm="1">
        <f t="array" ref="AQ35">MIN(INDEX(Use,AQ$10,5) + MAX(0, (1-INDEX(Use,AQ$10,5))*($AK35-5)/(35-5)), 1)</f>
        <v>0.4</v>
      </c>
      <c r="AR35" s="48" cm="1">
        <f t="array" ref="AR35">MIN(INDEX(Use,AR$10,5) + MAX(0, (1-INDEX(Use,AR$10,5))*($AK35-5)/(35-5)), 1)</f>
        <v>0.6</v>
      </c>
      <c r="AS35" s="48" cm="1">
        <f t="array" ref="AS35">MIN(INDEX(Use,AS$10,5) + MAX(0, (1-INDEX(Use,AS$10,5))*($AK35-5)/(35-5)), 1)</f>
        <v>0.8</v>
      </c>
      <c r="AT35" s="48" cm="1">
        <f t="array" ref="AT35">MIN(INDEX(Use,AT$10,5) + MAX(0, (1-INDEX(Use,AT$10,5))*($AK35-5)/(35-5)), 1)</f>
        <v>0.8</v>
      </c>
      <c r="AU35" s="48" cm="1">
        <f t="array" ref="AU35">MIN(INDEX(Use,AU$10,5) + MAX(0, (1-INDEX(Use,AU$10,5))*($AK35-5)/(35-5)), 1)</f>
        <v>0.8</v>
      </c>
      <c r="AV35" s="48">
        <v>1</v>
      </c>
      <c r="AW35" s="48">
        <v>1</v>
      </c>
      <c r="AX35" s="15"/>
      <c r="AY35" s="41" cm="1">
        <f t="array" ref="AY35">INDEX(Use, $AD35, 4)</f>
        <v>7</v>
      </c>
      <c r="AZ35" s="41">
        <f t="shared" si="9"/>
        <v>32</v>
      </c>
      <c r="BA35" s="41">
        <f t="shared" si="10"/>
        <v>13</v>
      </c>
      <c r="BB35" s="41">
        <f t="shared" si="11"/>
        <v>0</v>
      </c>
      <c r="BC35" s="57" cm="1">
        <f t="array" ref="BC35">K35/IF($L35&gt;0, INDEX($AO$12:$AU$66, $L35+20, $AD35), 1)</f>
        <v>0</v>
      </c>
      <c r="BD35" s="46">
        <f t="shared" si="12"/>
        <v>0</v>
      </c>
      <c r="BE35" s="41">
        <v>35</v>
      </c>
      <c r="BF35" s="46">
        <f t="shared" si="13"/>
        <v>52.55</v>
      </c>
      <c r="BG35" s="49">
        <f t="shared" si="14"/>
        <v>2.7676728869374316</v>
      </c>
      <c r="BH35" s="49" cm="1">
        <f t="array" ref="BH35">$BC35 * SUMPRODUCT(INDEX($AL$66:$AN$71,,$AE35),INDEX($AO$66:$AU$71,,$AD35), N($AK$66:$AK$71&gt;$AI35)) / BG35 / 1000</f>
        <v>0</v>
      </c>
      <c r="BI35" s="50">
        <f t="shared" si="15"/>
        <v>30</v>
      </c>
      <c r="BJ35" s="46">
        <f t="shared" si="16"/>
        <v>46.033333333333331</v>
      </c>
      <c r="BK35" s="49">
        <f t="shared" si="17"/>
        <v>3.2297395388556791</v>
      </c>
      <c r="BL35" s="49" cm="1">
        <f t="array" ref="BL35">$BC35 * IF($AD35&lt;=2,
SUMPRODUCT(INDEX($AL$61:$AN$65,,$AE35), INDEX($AO$61:$AU$65,,$AD35), 1 / ($AV$61:$AV$65*BK35 + (1-$AV$61:$AV$65)*BG35), N($AK$61:$AK$65&gt;$AI35)),
SUMPRODUCT(INDEX($AL$56:$AN$65,,$AE35), INDEX($AO$56:$AU$65,,$AD35), 1 / ($AW$56:$AW$65*BK35 + (1-$AW$56:$AW$65)*BG35), N($AK$56:$AK$65&gt;$AI35))
) / 1000</f>
        <v>0</v>
      </c>
      <c r="BM35" s="50">
        <f t="shared" si="18"/>
        <v>25</v>
      </c>
      <c r="BN35" s="46">
        <f t="shared" si="19"/>
        <v>39.516666666666666</v>
      </c>
      <c r="BO35" s="49">
        <f t="shared" si="20"/>
        <v>3.877011788826243</v>
      </c>
      <c r="BP35" s="49" cm="1">
        <f t="array" ref="BP35">$BC35 * IF($AD35&lt;=2,
SUMPRODUCT(INDEX($AL$56:$AN$60,,$AE35), INDEX($AO$56:$AU$60,,$AD35), 1 / ($AV$56:$AV$60*BO35 + (1-$AV$56:$AV$60)*BK35), N($AK$56:$AK$60&gt;$AI35)),
SUMPRODUCT(INDEX($AL$46:$AN$55,,$AE35), INDEX($AO$46:$AU$55,,$AD35), 1 / ($AW$46:$AW$55*BO35 + (1-$AW$46:$AW$55)*BK35), N($AK$46:$AK$55&gt;$AI35))
) / 1000</f>
        <v>0</v>
      </c>
      <c r="BQ35" s="50">
        <f t="shared" si="21"/>
        <v>20</v>
      </c>
      <c r="BR35" s="46">
        <f t="shared" si="22"/>
        <v>33</v>
      </c>
      <c r="BS35" s="49">
        <f t="shared" si="23"/>
        <v>4.8487499999999999</v>
      </c>
      <c r="BT35" s="49" cm="1">
        <f t="array" ref="BT35">$BC35 * IF($AD35&lt;=2,
SUMPRODUCT(INDEX($AL$51:$AN$55,,$AE35), INDEX($AO$51:$AU$55,,$AD35), 1 / ($AV$51:$AV$55*BS35 + (1-$AV$51:$AV$55)*BO35), N($AK$51:$AK$55&gt;$AI35)),
SUMPRODUCT(INDEX($AL$36:$AN$45,,$AE35), INDEX($AO$36:$AU$45,,$AD35), 1 / ($AW$36:$AW$45*BS35 + (1-$AW$36:$AW$45)*BO35), N($AK$36:$AK$45&gt;$AI35))
) / 1000</f>
        <v>0</v>
      </c>
      <c r="BU35" s="49" cm="1">
        <f t="array" ref="BU35">$BC35 * IF($AD35&lt;=2,
SUMPRODUCT(INDEX($AL$12:$AN$50,,$AE35), INDEX($AO$12:$AU$50,,$AD35), 1 / ($AV$12:$AV$50*BS35), N($AK$12:$AK$50&gt;$AI35)),
SUMPRODUCT(INDEX($AL$12:$AN$35,,$AE35), INDEX($AO$12:$AU$35,,$AD35), 1 / ($AW$12:$AW$35*BS35), N($AK$12:$AK$35&gt;$AI35))
) / 1000</f>
        <v>0</v>
      </c>
      <c r="BV35" s="46">
        <f t="shared" si="24"/>
        <v>0</v>
      </c>
      <c r="BW35" s="20"/>
      <c r="BX35" s="46">
        <f t="shared" si="25"/>
        <v>0</v>
      </c>
      <c r="BY35" s="41">
        <v>35</v>
      </c>
      <c r="BZ35" s="46">
        <f t="shared" si="26"/>
        <v>48</v>
      </c>
      <c r="CA35" s="49">
        <f t="shared" si="27"/>
        <v>3.0748170731707316</v>
      </c>
      <c r="CB35" s="49" cm="1">
        <f t="array" ref="CB35">$BC35 * SUMPRODUCT(INDEX($AL$66:$AN$71,,$AE35),INDEX($AO$66:$AU$71,,$AD35), N($AK$66:$AK$71&gt;$AI35)) / CA35 / 1000</f>
        <v>0</v>
      </c>
      <c r="CC35" s="50">
        <f t="shared" si="28"/>
        <v>30</v>
      </c>
      <c r="CD35" s="46">
        <f t="shared" si="29"/>
        <v>43</v>
      </c>
      <c r="CE35" s="49">
        <f t="shared" si="30"/>
        <v>3.5018750000000001</v>
      </c>
      <c r="CF35" s="49" cm="1">
        <f t="array" ref="CF35">$BC35 * IF($AD35&lt;=2,
SUMPRODUCT(INDEX($AL$61:$AN$65,,$AE35), INDEX($AO$61:$AU$65,,$AD35), 1 / ($AV$61:$AV$65*CE35 + (1-$AV$61:$AV$65)*CA35), N($AK$61:$AK$65&gt;$AI35)),
SUMPRODUCT(INDEX($AL$56:$AN$65,,$AE35), INDEX($AO$56:$AU$65,,$AD35), 1 / ($AW$56:$AW$65*CE35 + (1-$AW$56:$AW$65)*CA35), N($AK$56:$AK$65&gt;$AI35))
) / 1000</f>
        <v>0</v>
      </c>
      <c r="CG35" s="50">
        <f t="shared" si="31"/>
        <v>25</v>
      </c>
      <c r="CH35" s="46">
        <f t="shared" si="32"/>
        <v>38</v>
      </c>
      <c r="CI35" s="49">
        <f t="shared" si="33"/>
        <v>4.0666935483870965</v>
      </c>
      <c r="CJ35" s="49" cm="1">
        <f t="array" ref="CJ35">$BC35 * IF($AD35&lt;=2,
SUMPRODUCT(INDEX($AL$56:$AN$60,,$AE35), INDEX($AO$56:$AU$60,,$AD35), 1 / ($AV$56:$AV$60*CI35 + (1-$AV$56:$AV$60)*CE35), N($AK$56:$AK$60&gt;$AI35)),
SUMPRODUCT(INDEX($AL$46:$AN$55,,$AE35), INDEX($AO$46:$AU$55,,$AD35), 1 / ($AW$46:$AW$55*CI35 + (1-$AW$46:$AW$55)*CE35), N($AK$46:$AK$55&gt;$AI35))
) / 1000</f>
        <v>0</v>
      </c>
      <c r="CK35" s="50">
        <f t="shared" si="34"/>
        <v>20</v>
      </c>
      <c r="CL35" s="46">
        <f t="shared" si="35"/>
        <v>33</v>
      </c>
      <c r="CM35" s="49">
        <f t="shared" si="36"/>
        <v>4.8487499999999999</v>
      </c>
      <c r="CN35" s="49" cm="1">
        <f t="array" ref="CN35">$BC35 * IF($AD35&lt;=2,
SUMPRODUCT(INDEX($AL$51:$AN$55,,$AE35), INDEX($AO$51:$AU$55,,$AD35), 1 / ($AV$51:$AV$55*CM35 + (1-$AV$51:$AV$55)*CI35), N($AK$51:$AK$55&gt;$AI35)),
SUMPRODUCT(INDEX($AL$36:$AN$45,,$AE35), INDEX($AO$36:$AU$45,,$AD35), 1 / ($AW$36:$AW$45*CM35 + (1-$AW$36:$AW$45)*CI35), N($AK$36:$AK$45&gt;$AI35))
) / 1000</f>
        <v>0</v>
      </c>
      <c r="CO35" s="49" cm="1">
        <f t="array" ref="CO35">$BC35 * IF($AD35&lt;=2,
SUMPRODUCT(INDEX($AL$12:$AN$50,,$AE35), INDEX($AO$12:$AU$50,,$AD35), 1 / ($AV$12:$AV$50*CM35), N($AK$12:$AK$50&gt;$AI35)),
SUMPRODUCT(INDEX($AL$12:$AN$35,,$AE35), INDEX($AO$12:$AU$35,,$AD35), 1 / ($AW$12:$AW$35*CM35), N($AK$12:$AK$35&gt;$AI35))
) / 1000</f>
        <v>0</v>
      </c>
      <c r="CP35" s="46">
        <f t="shared" si="37"/>
        <v>0</v>
      </c>
      <c r="CQ35" s="20"/>
    </row>
    <row r="36" spans="1:95" s="95" customFormat="1" ht="14.25" customHeight="1" x14ac:dyDescent="0.25">
      <c r="A36" s="36" t="b">
        <f t="shared" si="0"/>
        <v>0</v>
      </c>
      <c r="B36" s="94">
        <v>25</v>
      </c>
      <c r="C36" s="7"/>
      <c r="D36" s="7"/>
      <c r="E36" s="33"/>
      <c r="F36" s="8" t="str">
        <f>IF(ISBLANK(E36), "", VLOOKUP(E36, Z!$A$2:$C$4127, 3, FALSE))</f>
        <v/>
      </c>
      <c r="G36" s="44"/>
      <c r="H36" s="44"/>
      <c r="I36" s="107"/>
      <c r="J36" s="108"/>
      <c r="K36" s="34"/>
      <c r="L36" s="59"/>
      <c r="M36" s="58" t="str" cm="1">
        <f t="array" ref="M36">IF($K36&gt;0, INDEX(Clean,1+AG36,$B$1), "")</f>
        <v/>
      </c>
      <c r="N36" s="62"/>
      <c r="O36" s="62"/>
      <c r="P36" s="63"/>
      <c r="Q36" s="52">
        <f t="shared" si="7"/>
        <v>0</v>
      </c>
      <c r="R36" s="58" t="str" cm="1">
        <f t="array" ref="R36">IF($K36&gt;0, INDEX(Clean,1+AH36,$B$1), "")</f>
        <v/>
      </c>
      <c r="S36" s="62"/>
      <c r="T36" s="62"/>
      <c r="U36" s="63"/>
      <c r="V36" s="52">
        <f t="shared" si="8"/>
        <v>0</v>
      </c>
      <c r="W36" s="6"/>
      <c r="X36" s="7"/>
      <c r="Y36" s="33"/>
      <c r="Z36" s="8" t="str">
        <f>IF(ISBLANK(Y36), "", VLOOKUP(Y36, Z!$A$2:$C$4127, 3, FALSE))</f>
        <v/>
      </c>
      <c r="AA36" s="38"/>
      <c r="AB36" s="9">
        <f t="shared" si="1"/>
        <v>0</v>
      </c>
      <c r="AC36" s="20"/>
      <c r="AD36" s="41">
        <f t="shared" si="2"/>
        <v>1</v>
      </c>
      <c r="AE36" s="41">
        <f t="shared" si="3"/>
        <v>1</v>
      </c>
      <c r="AF36" s="41">
        <f t="shared" si="4"/>
        <v>0</v>
      </c>
      <c r="AG36" s="41">
        <v>1</v>
      </c>
      <c r="AH36" s="41">
        <v>0</v>
      </c>
      <c r="AI36" s="41">
        <f t="shared" si="5"/>
        <v>-100</v>
      </c>
      <c r="AJ36" s="20"/>
      <c r="AK36" s="41">
        <v>5</v>
      </c>
      <c r="AL36" s="50">
        <v>324</v>
      </c>
      <c r="AM36" s="50">
        <v>359</v>
      </c>
      <c r="AN36" s="50">
        <v>335</v>
      </c>
      <c r="AO36" s="48">
        <f t="shared" si="6"/>
        <v>0</v>
      </c>
      <c r="AP36" s="48">
        <f t="shared" si="6"/>
        <v>0</v>
      </c>
      <c r="AQ36" s="48" cm="1">
        <f t="array" ref="AQ36">MIN(INDEX(Use,AQ$10,5) + MAX(0, (1-INDEX(Use,AQ$10,5))*($AK36-5)/(35-5)), 1)</f>
        <v>0.4</v>
      </c>
      <c r="AR36" s="48" cm="1">
        <f t="array" ref="AR36">MIN(INDEX(Use,AR$10,5) + MAX(0, (1-INDEX(Use,AR$10,5))*($AK36-5)/(35-5)), 1)</f>
        <v>0.6</v>
      </c>
      <c r="AS36" s="48" cm="1">
        <f t="array" ref="AS36">MIN(INDEX(Use,AS$10,5) + MAX(0, (1-INDEX(Use,AS$10,5))*($AK36-5)/(35-5)), 1)</f>
        <v>0.8</v>
      </c>
      <c r="AT36" s="48" cm="1">
        <f t="array" ref="AT36">MIN(INDEX(Use,AT$10,5) + MAX(0, (1-INDEX(Use,AT$10,5))*($AK36-5)/(35-5)), 1)</f>
        <v>0.8</v>
      </c>
      <c r="AU36" s="48" cm="1">
        <f t="array" ref="AU36">MIN(INDEX(Use,AU$10,5) + MAX(0, (1-INDEX(Use,AU$10,5))*($AK36-5)/(35-5)), 1)</f>
        <v>0.8</v>
      </c>
      <c r="AV36" s="48">
        <v>1</v>
      </c>
      <c r="AW36" s="48">
        <v>1</v>
      </c>
      <c r="AX36" s="15"/>
      <c r="AY36" s="41" cm="1">
        <f t="array" ref="AY36">INDEX(Use, $AD36, 4)</f>
        <v>7</v>
      </c>
      <c r="AZ36" s="41">
        <f t="shared" si="9"/>
        <v>32</v>
      </c>
      <c r="BA36" s="41">
        <f t="shared" si="10"/>
        <v>13</v>
      </c>
      <c r="BB36" s="41">
        <f t="shared" si="11"/>
        <v>0</v>
      </c>
      <c r="BC36" s="57" cm="1">
        <f t="array" ref="BC36">K36/IF($L36&gt;0, INDEX($AO$12:$AU$66, $L36+20, $AD36), 1)</f>
        <v>0</v>
      </c>
      <c r="BD36" s="46">
        <f t="shared" si="12"/>
        <v>0</v>
      </c>
      <c r="BE36" s="41">
        <v>35</v>
      </c>
      <c r="BF36" s="46">
        <f t="shared" si="13"/>
        <v>52.55</v>
      </c>
      <c r="BG36" s="49">
        <f t="shared" si="14"/>
        <v>2.7676728869374316</v>
      </c>
      <c r="BH36" s="49" cm="1">
        <f t="array" ref="BH36">$BC36 * SUMPRODUCT(INDEX($AL$66:$AN$71,,$AE36),INDEX($AO$66:$AU$71,,$AD36), N($AK$66:$AK$71&gt;$AI36)) / BG36 / 1000</f>
        <v>0</v>
      </c>
      <c r="BI36" s="50">
        <f t="shared" si="15"/>
        <v>30</v>
      </c>
      <c r="BJ36" s="46">
        <f t="shared" si="16"/>
        <v>46.033333333333331</v>
      </c>
      <c r="BK36" s="49">
        <f t="shared" si="17"/>
        <v>3.2297395388556791</v>
      </c>
      <c r="BL36" s="49" cm="1">
        <f t="array" ref="BL36">$BC36 * IF($AD36&lt;=2,
SUMPRODUCT(INDEX($AL$61:$AN$65,,$AE36), INDEX($AO$61:$AU$65,,$AD36), 1 / ($AV$61:$AV$65*BK36 + (1-$AV$61:$AV$65)*BG36), N($AK$61:$AK$65&gt;$AI36)),
SUMPRODUCT(INDEX($AL$56:$AN$65,,$AE36), INDEX($AO$56:$AU$65,,$AD36), 1 / ($AW$56:$AW$65*BK36 + (1-$AW$56:$AW$65)*BG36), N($AK$56:$AK$65&gt;$AI36))
) / 1000</f>
        <v>0</v>
      </c>
      <c r="BM36" s="50">
        <f t="shared" si="18"/>
        <v>25</v>
      </c>
      <c r="BN36" s="46">
        <f t="shared" si="19"/>
        <v>39.516666666666666</v>
      </c>
      <c r="BO36" s="49">
        <f t="shared" si="20"/>
        <v>3.877011788826243</v>
      </c>
      <c r="BP36" s="49" cm="1">
        <f t="array" ref="BP36">$BC36 * IF($AD36&lt;=2,
SUMPRODUCT(INDEX($AL$56:$AN$60,,$AE36), INDEX($AO$56:$AU$60,,$AD36), 1 / ($AV$56:$AV$60*BO36 + (1-$AV$56:$AV$60)*BK36), N($AK$56:$AK$60&gt;$AI36)),
SUMPRODUCT(INDEX($AL$46:$AN$55,,$AE36), INDEX($AO$46:$AU$55,,$AD36), 1 / ($AW$46:$AW$55*BO36 + (1-$AW$46:$AW$55)*BK36), N($AK$46:$AK$55&gt;$AI36))
) / 1000</f>
        <v>0</v>
      </c>
      <c r="BQ36" s="50">
        <f t="shared" si="21"/>
        <v>20</v>
      </c>
      <c r="BR36" s="46">
        <f t="shared" si="22"/>
        <v>33</v>
      </c>
      <c r="BS36" s="49">
        <f t="shared" si="23"/>
        <v>4.8487499999999999</v>
      </c>
      <c r="BT36" s="49" cm="1">
        <f t="array" ref="BT36">$BC36 * IF($AD36&lt;=2,
SUMPRODUCT(INDEX($AL$51:$AN$55,,$AE36), INDEX($AO$51:$AU$55,,$AD36), 1 / ($AV$51:$AV$55*BS36 + (1-$AV$51:$AV$55)*BO36), N($AK$51:$AK$55&gt;$AI36)),
SUMPRODUCT(INDEX($AL$36:$AN$45,,$AE36), INDEX($AO$36:$AU$45,,$AD36), 1 / ($AW$36:$AW$45*BS36 + (1-$AW$36:$AW$45)*BO36), N($AK$36:$AK$45&gt;$AI36))
) / 1000</f>
        <v>0</v>
      </c>
      <c r="BU36" s="49" cm="1">
        <f t="array" ref="BU36">$BC36 * IF($AD36&lt;=2,
SUMPRODUCT(INDEX($AL$12:$AN$50,,$AE36), INDEX($AO$12:$AU$50,,$AD36), 1 / ($AV$12:$AV$50*BS36), N($AK$12:$AK$50&gt;$AI36)),
SUMPRODUCT(INDEX($AL$12:$AN$35,,$AE36), INDEX($AO$12:$AU$35,,$AD36), 1 / ($AW$12:$AW$35*BS36), N($AK$12:$AK$35&gt;$AI36))
) / 1000</f>
        <v>0</v>
      </c>
      <c r="BV36" s="46">
        <f t="shared" si="24"/>
        <v>0</v>
      </c>
      <c r="BW36" s="20"/>
      <c r="BX36" s="46">
        <f t="shared" si="25"/>
        <v>0</v>
      </c>
      <c r="BY36" s="41">
        <v>35</v>
      </c>
      <c r="BZ36" s="46">
        <f t="shared" si="26"/>
        <v>48</v>
      </c>
      <c r="CA36" s="49">
        <f t="shared" si="27"/>
        <v>3.0748170731707316</v>
      </c>
      <c r="CB36" s="49" cm="1">
        <f t="array" ref="CB36">$BC36 * SUMPRODUCT(INDEX($AL$66:$AN$71,,$AE36),INDEX($AO$66:$AU$71,,$AD36), N($AK$66:$AK$71&gt;$AI36)) / CA36 / 1000</f>
        <v>0</v>
      </c>
      <c r="CC36" s="50">
        <f t="shared" si="28"/>
        <v>30</v>
      </c>
      <c r="CD36" s="46">
        <f t="shared" si="29"/>
        <v>43</v>
      </c>
      <c r="CE36" s="49">
        <f t="shared" si="30"/>
        <v>3.5018750000000001</v>
      </c>
      <c r="CF36" s="49" cm="1">
        <f t="array" ref="CF36">$BC36 * IF($AD36&lt;=2,
SUMPRODUCT(INDEX($AL$61:$AN$65,,$AE36), INDEX($AO$61:$AU$65,,$AD36), 1 / ($AV$61:$AV$65*CE36 + (1-$AV$61:$AV$65)*CA36), N($AK$61:$AK$65&gt;$AI36)),
SUMPRODUCT(INDEX($AL$56:$AN$65,,$AE36), INDEX($AO$56:$AU$65,,$AD36), 1 / ($AW$56:$AW$65*CE36 + (1-$AW$56:$AW$65)*CA36), N($AK$56:$AK$65&gt;$AI36))
) / 1000</f>
        <v>0</v>
      </c>
      <c r="CG36" s="50">
        <f t="shared" si="31"/>
        <v>25</v>
      </c>
      <c r="CH36" s="46">
        <f t="shared" si="32"/>
        <v>38</v>
      </c>
      <c r="CI36" s="49">
        <f t="shared" si="33"/>
        <v>4.0666935483870965</v>
      </c>
      <c r="CJ36" s="49" cm="1">
        <f t="array" ref="CJ36">$BC36 * IF($AD36&lt;=2,
SUMPRODUCT(INDEX($AL$56:$AN$60,,$AE36), INDEX($AO$56:$AU$60,,$AD36), 1 / ($AV$56:$AV$60*CI36 + (1-$AV$56:$AV$60)*CE36), N($AK$56:$AK$60&gt;$AI36)),
SUMPRODUCT(INDEX($AL$46:$AN$55,,$AE36), INDEX($AO$46:$AU$55,,$AD36), 1 / ($AW$46:$AW$55*CI36 + (1-$AW$46:$AW$55)*CE36), N($AK$46:$AK$55&gt;$AI36))
) / 1000</f>
        <v>0</v>
      </c>
      <c r="CK36" s="50">
        <f t="shared" si="34"/>
        <v>20</v>
      </c>
      <c r="CL36" s="46">
        <f t="shared" si="35"/>
        <v>33</v>
      </c>
      <c r="CM36" s="49">
        <f t="shared" si="36"/>
        <v>4.8487499999999999</v>
      </c>
      <c r="CN36" s="49" cm="1">
        <f t="array" ref="CN36">$BC36 * IF($AD36&lt;=2,
SUMPRODUCT(INDEX($AL$51:$AN$55,,$AE36), INDEX($AO$51:$AU$55,,$AD36), 1 / ($AV$51:$AV$55*CM36 + (1-$AV$51:$AV$55)*CI36), N($AK$51:$AK$55&gt;$AI36)),
SUMPRODUCT(INDEX($AL$36:$AN$45,,$AE36), INDEX($AO$36:$AU$45,,$AD36), 1 / ($AW$36:$AW$45*CM36 + (1-$AW$36:$AW$45)*CI36), N($AK$36:$AK$45&gt;$AI36))
) / 1000</f>
        <v>0</v>
      </c>
      <c r="CO36" s="49" cm="1">
        <f t="array" ref="CO36">$BC36 * IF($AD36&lt;=2,
SUMPRODUCT(INDEX($AL$12:$AN$50,,$AE36), INDEX($AO$12:$AU$50,,$AD36), 1 / ($AV$12:$AV$50*CM36), N($AK$12:$AK$50&gt;$AI36)),
SUMPRODUCT(INDEX($AL$12:$AN$35,,$AE36), INDEX($AO$12:$AU$35,,$AD36), 1 / ($AW$12:$AW$35*CM36), N($AK$12:$AK$35&gt;$AI36))
) / 1000</f>
        <v>0</v>
      </c>
      <c r="CP36" s="46">
        <f t="shared" si="37"/>
        <v>0</v>
      </c>
      <c r="CQ36" s="20"/>
    </row>
    <row r="37" spans="1:95" s="95" customFormat="1" ht="14.25" customHeight="1" x14ac:dyDescent="0.25">
      <c r="A37" s="36" t="b">
        <f t="shared" si="0"/>
        <v>0</v>
      </c>
      <c r="B37" s="94">
        <v>26</v>
      </c>
      <c r="C37" s="7"/>
      <c r="D37" s="7"/>
      <c r="E37" s="33"/>
      <c r="F37" s="8" t="str">
        <f>IF(ISBLANK(E37), "", VLOOKUP(E37, Z!$A$2:$C$4127, 3, FALSE))</f>
        <v/>
      </c>
      <c r="G37" s="44"/>
      <c r="H37" s="44"/>
      <c r="I37" s="107"/>
      <c r="J37" s="108"/>
      <c r="K37" s="34"/>
      <c r="L37" s="59"/>
      <c r="M37" s="58" t="str" cm="1">
        <f t="array" ref="M37">IF($K37&gt;0, INDEX(Clean,1+AG37,$B$1), "")</f>
        <v/>
      </c>
      <c r="N37" s="62"/>
      <c r="O37" s="62"/>
      <c r="P37" s="63"/>
      <c r="Q37" s="52">
        <f t="shared" si="7"/>
        <v>0</v>
      </c>
      <c r="R37" s="58" t="str" cm="1">
        <f t="array" ref="R37">IF($K37&gt;0, INDEX(Clean,1+AH37,$B$1), "")</f>
        <v/>
      </c>
      <c r="S37" s="62"/>
      <c r="T37" s="62"/>
      <c r="U37" s="63"/>
      <c r="V37" s="52">
        <f t="shared" si="8"/>
        <v>0</v>
      </c>
      <c r="W37" s="6"/>
      <c r="X37" s="7"/>
      <c r="Y37" s="33"/>
      <c r="Z37" s="8" t="str">
        <f>IF(ISBLANK(Y37), "", VLOOKUP(Y37, Z!$A$2:$C$4127, 3, FALSE))</f>
        <v/>
      </c>
      <c r="AA37" s="38"/>
      <c r="AB37" s="9">
        <f t="shared" si="1"/>
        <v>0</v>
      </c>
      <c r="AC37" s="20"/>
      <c r="AD37" s="41">
        <f t="shared" si="2"/>
        <v>1</v>
      </c>
      <c r="AE37" s="41">
        <f t="shared" si="3"/>
        <v>1</v>
      </c>
      <c r="AF37" s="41">
        <f t="shared" si="4"/>
        <v>0</v>
      </c>
      <c r="AG37" s="41">
        <v>1</v>
      </c>
      <c r="AH37" s="41">
        <v>0</v>
      </c>
      <c r="AI37" s="41">
        <f t="shared" si="5"/>
        <v>-100</v>
      </c>
      <c r="AJ37" s="20"/>
      <c r="AK37" s="41">
        <v>6</v>
      </c>
      <c r="AL37" s="50">
        <v>362</v>
      </c>
      <c r="AM37" s="50">
        <v>365</v>
      </c>
      <c r="AN37" s="50">
        <v>417</v>
      </c>
      <c r="AO37" s="48">
        <f t="shared" si="6"/>
        <v>0</v>
      </c>
      <c r="AP37" s="48">
        <f t="shared" si="6"/>
        <v>0</v>
      </c>
      <c r="AQ37" s="48" cm="1">
        <f t="array" ref="AQ37">MIN(INDEX(Use,AQ$10,5) + MAX(0, (1-INDEX(Use,AQ$10,5))*($AK37-5)/(35-5)), 1)</f>
        <v>0.42000000000000004</v>
      </c>
      <c r="AR37" s="48" cm="1">
        <f t="array" ref="AR37">MIN(INDEX(Use,AR$10,5) + MAX(0, (1-INDEX(Use,AR$10,5))*($AK37-5)/(35-5)), 1)</f>
        <v>0.61333333333333329</v>
      </c>
      <c r="AS37" s="48" cm="1">
        <f t="array" ref="AS37">MIN(INDEX(Use,AS$10,5) + MAX(0, (1-INDEX(Use,AS$10,5))*($AK37-5)/(35-5)), 1)</f>
        <v>0.80666666666666675</v>
      </c>
      <c r="AT37" s="48" cm="1">
        <f t="array" ref="AT37">MIN(INDEX(Use,AT$10,5) + MAX(0, (1-INDEX(Use,AT$10,5))*($AK37-5)/(35-5)), 1)</f>
        <v>0.80666666666666675</v>
      </c>
      <c r="AU37" s="48" cm="1">
        <f t="array" ref="AU37">MIN(INDEX(Use,AU$10,5) + MAX(0, (1-INDEX(Use,AU$10,5))*($AK37-5)/(35-5)), 1)</f>
        <v>0.80666666666666675</v>
      </c>
      <c r="AV37" s="48">
        <v>1</v>
      </c>
      <c r="AW37" s="48">
        <v>0.9</v>
      </c>
      <c r="AX37" s="15"/>
      <c r="AY37" s="41" cm="1">
        <f t="array" ref="AY37">INDEX(Use, $AD37, 4)</f>
        <v>7</v>
      </c>
      <c r="AZ37" s="41">
        <f t="shared" si="9"/>
        <v>32</v>
      </c>
      <c r="BA37" s="41">
        <f t="shared" si="10"/>
        <v>13</v>
      </c>
      <c r="BB37" s="41">
        <f t="shared" si="11"/>
        <v>0</v>
      </c>
      <c r="BC37" s="57" cm="1">
        <f t="array" ref="BC37">K37/IF($L37&gt;0, INDEX($AO$12:$AU$66, $L37+20, $AD37), 1)</f>
        <v>0</v>
      </c>
      <c r="BD37" s="46">
        <f t="shared" si="12"/>
        <v>0</v>
      </c>
      <c r="BE37" s="41">
        <v>35</v>
      </c>
      <c r="BF37" s="46">
        <f t="shared" si="13"/>
        <v>52.55</v>
      </c>
      <c r="BG37" s="49">
        <f t="shared" si="14"/>
        <v>2.7676728869374316</v>
      </c>
      <c r="BH37" s="49" cm="1">
        <f t="array" ref="BH37">$BC37 * SUMPRODUCT(INDEX($AL$66:$AN$71,,$AE37),INDEX($AO$66:$AU$71,,$AD37), N($AK$66:$AK$71&gt;$AI37)) / BG37 / 1000</f>
        <v>0</v>
      </c>
      <c r="BI37" s="50">
        <f t="shared" si="15"/>
        <v>30</v>
      </c>
      <c r="BJ37" s="46">
        <f t="shared" si="16"/>
        <v>46.033333333333331</v>
      </c>
      <c r="BK37" s="49">
        <f t="shared" si="17"/>
        <v>3.2297395388556791</v>
      </c>
      <c r="BL37" s="49" cm="1">
        <f t="array" ref="BL37">$BC37 * IF($AD37&lt;=2,
SUMPRODUCT(INDEX($AL$61:$AN$65,,$AE37), INDEX($AO$61:$AU$65,,$AD37), 1 / ($AV$61:$AV$65*BK37 + (1-$AV$61:$AV$65)*BG37), N($AK$61:$AK$65&gt;$AI37)),
SUMPRODUCT(INDEX($AL$56:$AN$65,,$AE37), INDEX($AO$56:$AU$65,,$AD37), 1 / ($AW$56:$AW$65*BK37 + (1-$AW$56:$AW$65)*BG37), N($AK$56:$AK$65&gt;$AI37))
) / 1000</f>
        <v>0</v>
      </c>
      <c r="BM37" s="50">
        <f t="shared" si="18"/>
        <v>25</v>
      </c>
      <c r="BN37" s="46">
        <f t="shared" si="19"/>
        <v>39.516666666666666</v>
      </c>
      <c r="BO37" s="49">
        <f t="shared" si="20"/>
        <v>3.877011788826243</v>
      </c>
      <c r="BP37" s="49" cm="1">
        <f t="array" ref="BP37">$BC37 * IF($AD37&lt;=2,
SUMPRODUCT(INDEX($AL$56:$AN$60,,$AE37), INDEX($AO$56:$AU$60,,$AD37), 1 / ($AV$56:$AV$60*BO37 + (1-$AV$56:$AV$60)*BK37), N($AK$56:$AK$60&gt;$AI37)),
SUMPRODUCT(INDEX($AL$46:$AN$55,,$AE37), INDEX($AO$46:$AU$55,,$AD37), 1 / ($AW$46:$AW$55*BO37 + (1-$AW$46:$AW$55)*BK37), N($AK$46:$AK$55&gt;$AI37))
) / 1000</f>
        <v>0</v>
      </c>
      <c r="BQ37" s="50">
        <f t="shared" si="21"/>
        <v>20</v>
      </c>
      <c r="BR37" s="46">
        <f t="shared" si="22"/>
        <v>33</v>
      </c>
      <c r="BS37" s="49">
        <f t="shared" si="23"/>
        <v>4.8487499999999999</v>
      </c>
      <c r="BT37" s="49" cm="1">
        <f t="array" ref="BT37">$BC37 * IF($AD37&lt;=2,
SUMPRODUCT(INDEX($AL$51:$AN$55,,$AE37), INDEX($AO$51:$AU$55,,$AD37), 1 / ($AV$51:$AV$55*BS37 + (1-$AV$51:$AV$55)*BO37), N($AK$51:$AK$55&gt;$AI37)),
SUMPRODUCT(INDEX($AL$36:$AN$45,,$AE37), INDEX($AO$36:$AU$45,,$AD37), 1 / ($AW$36:$AW$45*BS37 + (1-$AW$36:$AW$45)*BO37), N($AK$36:$AK$45&gt;$AI37))
) / 1000</f>
        <v>0</v>
      </c>
      <c r="BU37" s="49" cm="1">
        <f t="array" ref="BU37">$BC37 * IF($AD37&lt;=2,
SUMPRODUCT(INDEX($AL$12:$AN$50,,$AE37), INDEX($AO$12:$AU$50,,$AD37), 1 / ($AV$12:$AV$50*BS37), N($AK$12:$AK$50&gt;$AI37)),
SUMPRODUCT(INDEX($AL$12:$AN$35,,$AE37), INDEX($AO$12:$AU$35,,$AD37), 1 / ($AW$12:$AW$35*BS37), N($AK$12:$AK$35&gt;$AI37))
) / 1000</f>
        <v>0</v>
      </c>
      <c r="BV37" s="46">
        <f t="shared" si="24"/>
        <v>0</v>
      </c>
      <c r="BW37" s="20"/>
      <c r="BX37" s="46">
        <f t="shared" si="25"/>
        <v>0</v>
      </c>
      <c r="BY37" s="41">
        <v>35</v>
      </c>
      <c r="BZ37" s="46">
        <f t="shared" si="26"/>
        <v>48</v>
      </c>
      <c r="CA37" s="49">
        <f t="shared" si="27"/>
        <v>3.0748170731707316</v>
      </c>
      <c r="CB37" s="49" cm="1">
        <f t="array" ref="CB37">$BC37 * SUMPRODUCT(INDEX($AL$66:$AN$71,,$AE37),INDEX($AO$66:$AU$71,,$AD37), N($AK$66:$AK$71&gt;$AI37)) / CA37 / 1000</f>
        <v>0</v>
      </c>
      <c r="CC37" s="50">
        <f t="shared" si="28"/>
        <v>30</v>
      </c>
      <c r="CD37" s="46">
        <f t="shared" si="29"/>
        <v>43</v>
      </c>
      <c r="CE37" s="49">
        <f t="shared" si="30"/>
        <v>3.5018750000000001</v>
      </c>
      <c r="CF37" s="49" cm="1">
        <f t="array" ref="CF37">$BC37 * IF($AD37&lt;=2,
SUMPRODUCT(INDEX($AL$61:$AN$65,,$AE37), INDEX($AO$61:$AU$65,,$AD37), 1 / ($AV$61:$AV$65*CE37 + (1-$AV$61:$AV$65)*CA37), N($AK$61:$AK$65&gt;$AI37)),
SUMPRODUCT(INDEX($AL$56:$AN$65,,$AE37), INDEX($AO$56:$AU$65,,$AD37), 1 / ($AW$56:$AW$65*CE37 + (1-$AW$56:$AW$65)*CA37), N($AK$56:$AK$65&gt;$AI37))
) / 1000</f>
        <v>0</v>
      </c>
      <c r="CG37" s="50">
        <f t="shared" si="31"/>
        <v>25</v>
      </c>
      <c r="CH37" s="46">
        <f t="shared" si="32"/>
        <v>38</v>
      </c>
      <c r="CI37" s="49">
        <f t="shared" si="33"/>
        <v>4.0666935483870965</v>
      </c>
      <c r="CJ37" s="49" cm="1">
        <f t="array" ref="CJ37">$BC37 * IF($AD37&lt;=2,
SUMPRODUCT(INDEX($AL$56:$AN$60,,$AE37), INDEX($AO$56:$AU$60,,$AD37), 1 / ($AV$56:$AV$60*CI37 + (1-$AV$56:$AV$60)*CE37), N($AK$56:$AK$60&gt;$AI37)),
SUMPRODUCT(INDEX($AL$46:$AN$55,,$AE37), INDEX($AO$46:$AU$55,,$AD37), 1 / ($AW$46:$AW$55*CI37 + (1-$AW$46:$AW$55)*CE37), N($AK$46:$AK$55&gt;$AI37))
) / 1000</f>
        <v>0</v>
      </c>
      <c r="CK37" s="50">
        <f t="shared" si="34"/>
        <v>20</v>
      </c>
      <c r="CL37" s="46">
        <f t="shared" si="35"/>
        <v>33</v>
      </c>
      <c r="CM37" s="49">
        <f t="shared" si="36"/>
        <v>4.8487499999999999</v>
      </c>
      <c r="CN37" s="49" cm="1">
        <f t="array" ref="CN37">$BC37 * IF($AD37&lt;=2,
SUMPRODUCT(INDEX($AL$51:$AN$55,,$AE37), INDEX($AO$51:$AU$55,,$AD37), 1 / ($AV$51:$AV$55*CM37 + (1-$AV$51:$AV$55)*CI37), N($AK$51:$AK$55&gt;$AI37)),
SUMPRODUCT(INDEX($AL$36:$AN$45,,$AE37), INDEX($AO$36:$AU$45,,$AD37), 1 / ($AW$36:$AW$45*CM37 + (1-$AW$36:$AW$45)*CI37), N($AK$36:$AK$45&gt;$AI37))
) / 1000</f>
        <v>0</v>
      </c>
      <c r="CO37" s="49" cm="1">
        <f t="array" ref="CO37">$BC37 * IF($AD37&lt;=2,
SUMPRODUCT(INDEX($AL$12:$AN$50,,$AE37), INDEX($AO$12:$AU$50,,$AD37), 1 / ($AV$12:$AV$50*CM37), N($AK$12:$AK$50&gt;$AI37)),
SUMPRODUCT(INDEX($AL$12:$AN$35,,$AE37), INDEX($AO$12:$AU$35,,$AD37), 1 / ($AW$12:$AW$35*CM37), N($AK$12:$AK$35&gt;$AI37))
) / 1000</f>
        <v>0</v>
      </c>
      <c r="CP37" s="46">
        <f t="shared" si="37"/>
        <v>0</v>
      </c>
      <c r="CQ37" s="20"/>
    </row>
    <row r="38" spans="1:95" s="95" customFormat="1" ht="14.25" customHeight="1" x14ac:dyDescent="0.25">
      <c r="A38" s="36" t="b">
        <f t="shared" si="0"/>
        <v>0</v>
      </c>
      <c r="B38" s="94">
        <v>27</v>
      </c>
      <c r="C38" s="7"/>
      <c r="D38" s="7"/>
      <c r="E38" s="33"/>
      <c r="F38" s="8" t="str">
        <f>IF(ISBLANK(E38), "", VLOOKUP(E38, Z!$A$2:$C$4127, 3, FALSE))</f>
        <v/>
      </c>
      <c r="G38" s="44"/>
      <c r="H38" s="44"/>
      <c r="I38" s="107"/>
      <c r="J38" s="108"/>
      <c r="K38" s="34"/>
      <c r="L38" s="59"/>
      <c r="M38" s="58" t="str" cm="1">
        <f t="array" ref="M38">IF($K38&gt;0, INDEX(Clean,1+AG38,$B$1), "")</f>
        <v/>
      </c>
      <c r="N38" s="62"/>
      <c r="O38" s="62"/>
      <c r="P38" s="63"/>
      <c r="Q38" s="52">
        <f t="shared" si="7"/>
        <v>0</v>
      </c>
      <c r="R38" s="58" t="str" cm="1">
        <f t="array" ref="R38">IF($K38&gt;0, INDEX(Clean,1+AH38,$B$1), "")</f>
        <v/>
      </c>
      <c r="S38" s="62"/>
      <c r="T38" s="62"/>
      <c r="U38" s="63"/>
      <c r="V38" s="52">
        <f t="shared" si="8"/>
        <v>0</v>
      </c>
      <c r="W38" s="6"/>
      <c r="X38" s="7"/>
      <c r="Y38" s="33"/>
      <c r="Z38" s="8" t="str">
        <f>IF(ISBLANK(Y38), "", VLOOKUP(Y38, Z!$A$2:$C$4127, 3, FALSE))</f>
        <v/>
      </c>
      <c r="AA38" s="38"/>
      <c r="AB38" s="9">
        <f t="shared" si="1"/>
        <v>0</v>
      </c>
      <c r="AC38" s="20"/>
      <c r="AD38" s="41">
        <f t="shared" si="2"/>
        <v>1</v>
      </c>
      <c r="AE38" s="41">
        <f t="shared" si="3"/>
        <v>1</v>
      </c>
      <c r="AF38" s="41">
        <f t="shared" si="4"/>
        <v>0</v>
      </c>
      <c r="AG38" s="41">
        <v>1</v>
      </c>
      <c r="AH38" s="41">
        <v>0</v>
      </c>
      <c r="AI38" s="41">
        <f t="shared" si="5"/>
        <v>-100</v>
      </c>
      <c r="AJ38" s="20"/>
      <c r="AK38" s="41">
        <v>7</v>
      </c>
      <c r="AL38" s="50">
        <v>426</v>
      </c>
      <c r="AM38" s="50">
        <v>341</v>
      </c>
      <c r="AN38" s="50">
        <v>406</v>
      </c>
      <c r="AO38" s="48">
        <f t="shared" si="6"/>
        <v>0</v>
      </c>
      <c r="AP38" s="48">
        <f t="shared" si="6"/>
        <v>0</v>
      </c>
      <c r="AQ38" s="48" cm="1">
        <f t="array" ref="AQ38">MIN(INDEX(Use,AQ$10,5) + MAX(0, (1-INDEX(Use,AQ$10,5))*($AK38-5)/(35-5)), 1)</f>
        <v>0.44</v>
      </c>
      <c r="AR38" s="48" cm="1">
        <f t="array" ref="AR38">MIN(INDEX(Use,AR$10,5) + MAX(0, (1-INDEX(Use,AR$10,5))*($AK38-5)/(35-5)), 1)</f>
        <v>0.62666666666666659</v>
      </c>
      <c r="AS38" s="48" cm="1">
        <f t="array" ref="AS38">MIN(INDEX(Use,AS$10,5) + MAX(0, (1-INDEX(Use,AS$10,5))*($AK38-5)/(35-5)), 1)</f>
        <v>0.81333333333333335</v>
      </c>
      <c r="AT38" s="48" cm="1">
        <f t="array" ref="AT38">MIN(INDEX(Use,AT$10,5) + MAX(0, (1-INDEX(Use,AT$10,5))*($AK38-5)/(35-5)), 1)</f>
        <v>0.81333333333333335</v>
      </c>
      <c r="AU38" s="48" cm="1">
        <f t="array" ref="AU38">MIN(INDEX(Use,AU$10,5) + MAX(0, (1-INDEX(Use,AU$10,5))*($AK38-5)/(35-5)), 1)</f>
        <v>0.81333333333333335</v>
      </c>
      <c r="AV38" s="48">
        <v>1</v>
      </c>
      <c r="AW38" s="48">
        <v>0.8</v>
      </c>
      <c r="AX38" s="15"/>
      <c r="AY38" s="41" cm="1">
        <f t="array" ref="AY38">INDEX(Use, $AD38, 4)</f>
        <v>7</v>
      </c>
      <c r="AZ38" s="41">
        <f t="shared" si="9"/>
        <v>32</v>
      </c>
      <c r="BA38" s="41">
        <f t="shared" si="10"/>
        <v>13</v>
      </c>
      <c r="BB38" s="41">
        <f t="shared" si="11"/>
        <v>0</v>
      </c>
      <c r="BC38" s="57" cm="1">
        <f t="array" ref="BC38">K38/IF($L38&gt;0, INDEX($AO$12:$AU$66, $L38+20, $AD38), 1)</f>
        <v>0</v>
      </c>
      <c r="BD38" s="46">
        <f t="shared" si="12"/>
        <v>0</v>
      </c>
      <c r="BE38" s="41">
        <v>35</v>
      </c>
      <c r="BF38" s="46">
        <f t="shared" si="13"/>
        <v>52.55</v>
      </c>
      <c r="BG38" s="49">
        <f t="shared" si="14"/>
        <v>2.7676728869374316</v>
      </c>
      <c r="BH38" s="49" cm="1">
        <f t="array" ref="BH38">$BC38 * SUMPRODUCT(INDEX($AL$66:$AN$71,,$AE38),INDEX($AO$66:$AU$71,,$AD38), N($AK$66:$AK$71&gt;$AI38)) / BG38 / 1000</f>
        <v>0</v>
      </c>
      <c r="BI38" s="50">
        <f t="shared" si="15"/>
        <v>30</v>
      </c>
      <c r="BJ38" s="46">
        <f t="shared" si="16"/>
        <v>46.033333333333331</v>
      </c>
      <c r="BK38" s="49">
        <f t="shared" si="17"/>
        <v>3.2297395388556791</v>
      </c>
      <c r="BL38" s="49" cm="1">
        <f t="array" ref="BL38">$BC38 * IF($AD38&lt;=2,
SUMPRODUCT(INDEX($AL$61:$AN$65,,$AE38), INDEX($AO$61:$AU$65,,$AD38), 1 / ($AV$61:$AV$65*BK38 + (1-$AV$61:$AV$65)*BG38), N($AK$61:$AK$65&gt;$AI38)),
SUMPRODUCT(INDEX($AL$56:$AN$65,,$AE38), INDEX($AO$56:$AU$65,,$AD38), 1 / ($AW$56:$AW$65*BK38 + (1-$AW$56:$AW$65)*BG38), N($AK$56:$AK$65&gt;$AI38))
) / 1000</f>
        <v>0</v>
      </c>
      <c r="BM38" s="50">
        <f t="shared" si="18"/>
        <v>25</v>
      </c>
      <c r="BN38" s="46">
        <f t="shared" si="19"/>
        <v>39.516666666666666</v>
      </c>
      <c r="BO38" s="49">
        <f t="shared" si="20"/>
        <v>3.877011788826243</v>
      </c>
      <c r="BP38" s="49" cm="1">
        <f t="array" ref="BP38">$BC38 * IF($AD38&lt;=2,
SUMPRODUCT(INDEX($AL$56:$AN$60,,$AE38), INDEX($AO$56:$AU$60,,$AD38), 1 / ($AV$56:$AV$60*BO38 + (1-$AV$56:$AV$60)*BK38), N($AK$56:$AK$60&gt;$AI38)),
SUMPRODUCT(INDEX($AL$46:$AN$55,,$AE38), INDEX($AO$46:$AU$55,,$AD38), 1 / ($AW$46:$AW$55*BO38 + (1-$AW$46:$AW$55)*BK38), N($AK$46:$AK$55&gt;$AI38))
) / 1000</f>
        <v>0</v>
      </c>
      <c r="BQ38" s="50">
        <f t="shared" si="21"/>
        <v>20</v>
      </c>
      <c r="BR38" s="46">
        <f t="shared" si="22"/>
        <v>33</v>
      </c>
      <c r="BS38" s="49">
        <f t="shared" si="23"/>
        <v>4.8487499999999999</v>
      </c>
      <c r="BT38" s="49" cm="1">
        <f t="array" ref="BT38">$BC38 * IF($AD38&lt;=2,
SUMPRODUCT(INDEX($AL$51:$AN$55,,$AE38), INDEX($AO$51:$AU$55,,$AD38), 1 / ($AV$51:$AV$55*BS38 + (1-$AV$51:$AV$55)*BO38), N($AK$51:$AK$55&gt;$AI38)),
SUMPRODUCT(INDEX($AL$36:$AN$45,,$AE38), INDEX($AO$36:$AU$45,,$AD38), 1 / ($AW$36:$AW$45*BS38 + (1-$AW$36:$AW$45)*BO38), N($AK$36:$AK$45&gt;$AI38))
) / 1000</f>
        <v>0</v>
      </c>
      <c r="BU38" s="49" cm="1">
        <f t="array" ref="BU38">$BC38 * IF($AD38&lt;=2,
SUMPRODUCT(INDEX($AL$12:$AN$50,,$AE38), INDEX($AO$12:$AU$50,,$AD38), 1 / ($AV$12:$AV$50*BS38), N($AK$12:$AK$50&gt;$AI38)),
SUMPRODUCT(INDEX($AL$12:$AN$35,,$AE38), INDEX($AO$12:$AU$35,,$AD38), 1 / ($AW$12:$AW$35*BS38), N($AK$12:$AK$35&gt;$AI38))
) / 1000</f>
        <v>0</v>
      </c>
      <c r="BV38" s="46">
        <f t="shared" si="24"/>
        <v>0</v>
      </c>
      <c r="BW38" s="20"/>
      <c r="BX38" s="46">
        <f t="shared" si="25"/>
        <v>0</v>
      </c>
      <c r="BY38" s="41">
        <v>35</v>
      </c>
      <c r="BZ38" s="46">
        <f t="shared" si="26"/>
        <v>48</v>
      </c>
      <c r="CA38" s="49">
        <f t="shared" si="27"/>
        <v>3.0748170731707316</v>
      </c>
      <c r="CB38" s="49" cm="1">
        <f t="array" ref="CB38">$BC38 * SUMPRODUCT(INDEX($AL$66:$AN$71,,$AE38),INDEX($AO$66:$AU$71,,$AD38), N($AK$66:$AK$71&gt;$AI38)) / CA38 / 1000</f>
        <v>0</v>
      </c>
      <c r="CC38" s="50">
        <f t="shared" si="28"/>
        <v>30</v>
      </c>
      <c r="CD38" s="46">
        <f t="shared" si="29"/>
        <v>43</v>
      </c>
      <c r="CE38" s="49">
        <f t="shared" si="30"/>
        <v>3.5018750000000001</v>
      </c>
      <c r="CF38" s="49" cm="1">
        <f t="array" ref="CF38">$BC38 * IF($AD38&lt;=2,
SUMPRODUCT(INDEX($AL$61:$AN$65,,$AE38), INDEX($AO$61:$AU$65,,$AD38), 1 / ($AV$61:$AV$65*CE38 + (1-$AV$61:$AV$65)*CA38), N($AK$61:$AK$65&gt;$AI38)),
SUMPRODUCT(INDEX($AL$56:$AN$65,,$AE38), INDEX($AO$56:$AU$65,,$AD38), 1 / ($AW$56:$AW$65*CE38 + (1-$AW$56:$AW$65)*CA38), N($AK$56:$AK$65&gt;$AI38))
) / 1000</f>
        <v>0</v>
      </c>
      <c r="CG38" s="50">
        <f t="shared" si="31"/>
        <v>25</v>
      </c>
      <c r="CH38" s="46">
        <f t="shared" si="32"/>
        <v>38</v>
      </c>
      <c r="CI38" s="49">
        <f t="shared" si="33"/>
        <v>4.0666935483870965</v>
      </c>
      <c r="CJ38" s="49" cm="1">
        <f t="array" ref="CJ38">$BC38 * IF($AD38&lt;=2,
SUMPRODUCT(INDEX($AL$56:$AN$60,,$AE38), INDEX($AO$56:$AU$60,,$AD38), 1 / ($AV$56:$AV$60*CI38 + (1-$AV$56:$AV$60)*CE38), N($AK$56:$AK$60&gt;$AI38)),
SUMPRODUCT(INDEX($AL$46:$AN$55,,$AE38), INDEX($AO$46:$AU$55,,$AD38), 1 / ($AW$46:$AW$55*CI38 + (1-$AW$46:$AW$55)*CE38), N($AK$46:$AK$55&gt;$AI38))
) / 1000</f>
        <v>0</v>
      </c>
      <c r="CK38" s="50">
        <f t="shared" si="34"/>
        <v>20</v>
      </c>
      <c r="CL38" s="46">
        <f t="shared" si="35"/>
        <v>33</v>
      </c>
      <c r="CM38" s="49">
        <f t="shared" si="36"/>
        <v>4.8487499999999999</v>
      </c>
      <c r="CN38" s="49" cm="1">
        <f t="array" ref="CN38">$BC38 * IF($AD38&lt;=2,
SUMPRODUCT(INDEX($AL$51:$AN$55,,$AE38), INDEX($AO$51:$AU$55,,$AD38), 1 / ($AV$51:$AV$55*CM38 + (1-$AV$51:$AV$55)*CI38), N($AK$51:$AK$55&gt;$AI38)),
SUMPRODUCT(INDEX($AL$36:$AN$45,,$AE38), INDEX($AO$36:$AU$45,,$AD38), 1 / ($AW$36:$AW$45*CM38 + (1-$AW$36:$AW$45)*CI38), N($AK$36:$AK$45&gt;$AI38))
) / 1000</f>
        <v>0</v>
      </c>
      <c r="CO38" s="49" cm="1">
        <f t="array" ref="CO38">$BC38 * IF($AD38&lt;=2,
SUMPRODUCT(INDEX($AL$12:$AN$50,,$AE38), INDEX($AO$12:$AU$50,,$AD38), 1 / ($AV$12:$AV$50*CM38), N($AK$12:$AK$50&gt;$AI38)),
SUMPRODUCT(INDEX($AL$12:$AN$35,,$AE38), INDEX($AO$12:$AU$35,,$AD38), 1 / ($AW$12:$AW$35*CM38), N($AK$12:$AK$35&gt;$AI38))
) / 1000</f>
        <v>0</v>
      </c>
      <c r="CP38" s="46">
        <f t="shared" si="37"/>
        <v>0</v>
      </c>
      <c r="CQ38" s="20"/>
    </row>
    <row r="39" spans="1:95" s="95" customFormat="1" ht="14.25" customHeight="1" x14ac:dyDescent="0.25">
      <c r="A39" s="36" t="b">
        <f t="shared" si="0"/>
        <v>0</v>
      </c>
      <c r="B39" s="94">
        <v>28</v>
      </c>
      <c r="C39" s="7"/>
      <c r="D39" s="7"/>
      <c r="E39" s="33"/>
      <c r="F39" s="8" t="str">
        <f>IF(ISBLANK(E39), "", VLOOKUP(E39, Z!$A$2:$C$4127, 3, FALSE))</f>
        <v/>
      </c>
      <c r="G39" s="44"/>
      <c r="H39" s="44"/>
      <c r="I39" s="107"/>
      <c r="J39" s="108"/>
      <c r="K39" s="34"/>
      <c r="L39" s="59"/>
      <c r="M39" s="58" t="str" cm="1">
        <f t="array" ref="M39">IF($K39&gt;0, INDEX(Clean,1+AG39,$B$1), "")</f>
        <v/>
      </c>
      <c r="N39" s="62"/>
      <c r="O39" s="62"/>
      <c r="P39" s="63"/>
      <c r="Q39" s="52">
        <f t="shared" si="7"/>
        <v>0</v>
      </c>
      <c r="R39" s="58" t="str" cm="1">
        <f t="array" ref="R39">IF($K39&gt;0, INDEX(Clean,1+AH39,$B$1), "")</f>
        <v/>
      </c>
      <c r="S39" s="62"/>
      <c r="T39" s="62"/>
      <c r="U39" s="63"/>
      <c r="V39" s="52">
        <f t="shared" si="8"/>
        <v>0</v>
      </c>
      <c r="W39" s="6"/>
      <c r="X39" s="7"/>
      <c r="Y39" s="33"/>
      <c r="Z39" s="8" t="str">
        <f>IF(ISBLANK(Y39), "", VLOOKUP(Y39, Z!$A$2:$C$4127, 3, FALSE))</f>
        <v/>
      </c>
      <c r="AA39" s="38"/>
      <c r="AB39" s="9">
        <f t="shared" si="1"/>
        <v>0</v>
      </c>
      <c r="AC39" s="20"/>
      <c r="AD39" s="41">
        <f t="shared" si="2"/>
        <v>1</v>
      </c>
      <c r="AE39" s="41">
        <f t="shared" si="3"/>
        <v>1</v>
      </c>
      <c r="AF39" s="41">
        <f t="shared" si="4"/>
        <v>0</v>
      </c>
      <c r="AG39" s="41">
        <v>1</v>
      </c>
      <c r="AH39" s="41">
        <v>0</v>
      </c>
      <c r="AI39" s="41">
        <f t="shared" si="5"/>
        <v>-100</v>
      </c>
      <c r="AJ39" s="20"/>
      <c r="AK39" s="41">
        <v>8</v>
      </c>
      <c r="AL39" s="50">
        <v>438</v>
      </c>
      <c r="AM39" s="50">
        <v>321</v>
      </c>
      <c r="AN39" s="50">
        <v>336</v>
      </c>
      <c r="AO39" s="48">
        <f t="shared" si="6"/>
        <v>0</v>
      </c>
      <c r="AP39" s="48">
        <f t="shared" si="6"/>
        <v>0</v>
      </c>
      <c r="AQ39" s="48" cm="1">
        <f t="array" ref="AQ39">MIN(INDEX(Use,AQ$10,5) + MAX(0, (1-INDEX(Use,AQ$10,5))*($AK39-5)/(35-5)), 1)</f>
        <v>0.46</v>
      </c>
      <c r="AR39" s="48" cm="1">
        <f t="array" ref="AR39">MIN(INDEX(Use,AR$10,5) + MAX(0, (1-INDEX(Use,AR$10,5))*($AK39-5)/(35-5)), 1)</f>
        <v>0.64</v>
      </c>
      <c r="AS39" s="48" cm="1">
        <f t="array" ref="AS39">MIN(INDEX(Use,AS$10,5) + MAX(0, (1-INDEX(Use,AS$10,5))*($AK39-5)/(35-5)), 1)</f>
        <v>0.82000000000000006</v>
      </c>
      <c r="AT39" s="48" cm="1">
        <f t="array" ref="AT39">MIN(INDEX(Use,AT$10,5) + MAX(0, (1-INDEX(Use,AT$10,5))*($AK39-5)/(35-5)), 1)</f>
        <v>0.82000000000000006</v>
      </c>
      <c r="AU39" s="48" cm="1">
        <f t="array" ref="AU39">MIN(INDEX(Use,AU$10,5) + MAX(0, (1-INDEX(Use,AU$10,5))*($AK39-5)/(35-5)), 1)</f>
        <v>0.82000000000000006</v>
      </c>
      <c r="AV39" s="48">
        <v>1</v>
      </c>
      <c r="AW39" s="48">
        <v>0.7</v>
      </c>
      <c r="AX39" s="15"/>
      <c r="AY39" s="41" cm="1">
        <f t="array" ref="AY39">INDEX(Use, $AD39, 4)</f>
        <v>7</v>
      </c>
      <c r="AZ39" s="41">
        <f t="shared" si="9"/>
        <v>32</v>
      </c>
      <c r="BA39" s="41">
        <f t="shared" si="10"/>
        <v>13</v>
      </c>
      <c r="BB39" s="41">
        <f t="shared" si="11"/>
        <v>0</v>
      </c>
      <c r="BC39" s="57" cm="1">
        <f t="array" ref="BC39">K39/IF($L39&gt;0, INDEX($AO$12:$AU$66, $L39+20, $AD39), 1)</f>
        <v>0</v>
      </c>
      <c r="BD39" s="46">
        <f t="shared" si="12"/>
        <v>0</v>
      </c>
      <c r="BE39" s="41">
        <v>35</v>
      </c>
      <c r="BF39" s="46">
        <f t="shared" si="13"/>
        <v>52.55</v>
      </c>
      <c r="BG39" s="49">
        <f t="shared" si="14"/>
        <v>2.7676728869374316</v>
      </c>
      <c r="BH39" s="49" cm="1">
        <f t="array" ref="BH39">$BC39 * SUMPRODUCT(INDEX($AL$66:$AN$71,,$AE39),INDEX($AO$66:$AU$71,,$AD39), N($AK$66:$AK$71&gt;$AI39)) / BG39 / 1000</f>
        <v>0</v>
      </c>
      <c r="BI39" s="50">
        <f t="shared" si="15"/>
        <v>30</v>
      </c>
      <c r="BJ39" s="46">
        <f t="shared" si="16"/>
        <v>46.033333333333331</v>
      </c>
      <c r="BK39" s="49">
        <f t="shared" si="17"/>
        <v>3.2297395388556791</v>
      </c>
      <c r="BL39" s="49" cm="1">
        <f t="array" ref="BL39">$BC39 * IF($AD39&lt;=2,
SUMPRODUCT(INDEX($AL$61:$AN$65,,$AE39), INDEX($AO$61:$AU$65,,$AD39), 1 / ($AV$61:$AV$65*BK39 + (1-$AV$61:$AV$65)*BG39), N($AK$61:$AK$65&gt;$AI39)),
SUMPRODUCT(INDEX($AL$56:$AN$65,,$AE39), INDEX($AO$56:$AU$65,,$AD39), 1 / ($AW$56:$AW$65*BK39 + (1-$AW$56:$AW$65)*BG39), N($AK$56:$AK$65&gt;$AI39))
) / 1000</f>
        <v>0</v>
      </c>
      <c r="BM39" s="50">
        <f t="shared" si="18"/>
        <v>25</v>
      </c>
      <c r="BN39" s="46">
        <f t="shared" si="19"/>
        <v>39.516666666666666</v>
      </c>
      <c r="BO39" s="49">
        <f t="shared" si="20"/>
        <v>3.877011788826243</v>
      </c>
      <c r="BP39" s="49" cm="1">
        <f t="array" ref="BP39">$BC39 * IF($AD39&lt;=2,
SUMPRODUCT(INDEX($AL$56:$AN$60,,$AE39), INDEX($AO$56:$AU$60,,$AD39), 1 / ($AV$56:$AV$60*BO39 + (1-$AV$56:$AV$60)*BK39), N($AK$56:$AK$60&gt;$AI39)),
SUMPRODUCT(INDEX($AL$46:$AN$55,,$AE39), INDEX($AO$46:$AU$55,,$AD39), 1 / ($AW$46:$AW$55*BO39 + (1-$AW$46:$AW$55)*BK39), N($AK$46:$AK$55&gt;$AI39))
) / 1000</f>
        <v>0</v>
      </c>
      <c r="BQ39" s="50">
        <f t="shared" si="21"/>
        <v>20</v>
      </c>
      <c r="BR39" s="46">
        <f t="shared" si="22"/>
        <v>33</v>
      </c>
      <c r="BS39" s="49">
        <f t="shared" si="23"/>
        <v>4.8487499999999999</v>
      </c>
      <c r="BT39" s="49" cm="1">
        <f t="array" ref="BT39">$BC39 * IF($AD39&lt;=2,
SUMPRODUCT(INDEX($AL$51:$AN$55,,$AE39), INDEX($AO$51:$AU$55,,$AD39), 1 / ($AV$51:$AV$55*BS39 + (1-$AV$51:$AV$55)*BO39), N($AK$51:$AK$55&gt;$AI39)),
SUMPRODUCT(INDEX($AL$36:$AN$45,,$AE39), INDEX($AO$36:$AU$45,,$AD39), 1 / ($AW$36:$AW$45*BS39 + (1-$AW$36:$AW$45)*BO39), N($AK$36:$AK$45&gt;$AI39))
) / 1000</f>
        <v>0</v>
      </c>
      <c r="BU39" s="49" cm="1">
        <f t="array" ref="BU39">$BC39 * IF($AD39&lt;=2,
SUMPRODUCT(INDEX($AL$12:$AN$50,,$AE39), INDEX($AO$12:$AU$50,,$AD39), 1 / ($AV$12:$AV$50*BS39), N($AK$12:$AK$50&gt;$AI39)),
SUMPRODUCT(INDEX($AL$12:$AN$35,,$AE39), INDEX($AO$12:$AU$35,,$AD39), 1 / ($AW$12:$AW$35*BS39), N($AK$12:$AK$35&gt;$AI39))
) / 1000</f>
        <v>0</v>
      </c>
      <c r="BV39" s="46">
        <f t="shared" si="24"/>
        <v>0</v>
      </c>
      <c r="BW39" s="20"/>
      <c r="BX39" s="46">
        <f t="shared" si="25"/>
        <v>0</v>
      </c>
      <c r="BY39" s="41">
        <v>35</v>
      </c>
      <c r="BZ39" s="46">
        <f t="shared" si="26"/>
        <v>48</v>
      </c>
      <c r="CA39" s="49">
        <f t="shared" si="27"/>
        <v>3.0748170731707316</v>
      </c>
      <c r="CB39" s="49" cm="1">
        <f t="array" ref="CB39">$BC39 * SUMPRODUCT(INDEX($AL$66:$AN$71,,$AE39),INDEX($AO$66:$AU$71,,$AD39), N($AK$66:$AK$71&gt;$AI39)) / CA39 / 1000</f>
        <v>0</v>
      </c>
      <c r="CC39" s="50">
        <f t="shared" si="28"/>
        <v>30</v>
      </c>
      <c r="CD39" s="46">
        <f t="shared" si="29"/>
        <v>43</v>
      </c>
      <c r="CE39" s="49">
        <f t="shared" si="30"/>
        <v>3.5018750000000001</v>
      </c>
      <c r="CF39" s="49" cm="1">
        <f t="array" ref="CF39">$BC39 * IF($AD39&lt;=2,
SUMPRODUCT(INDEX($AL$61:$AN$65,,$AE39), INDEX($AO$61:$AU$65,,$AD39), 1 / ($AV$61:$AV$65*CE39 + (1-$AV$61:$AV$65)*CA39), N($AK$61:$AK$65&gt;$AI39)),
SUMPRODUCT(INDEX($AL$56:$AN$65,,$AE39), INDEX($AO$56:$AU$65,,$AD39), 1 / ($AW$56:$AW$65*CE39 + (1-$AW$56:$AW$65)*CA39), N($AK$56:$AK$65&gt;$AI39))
) / 1000</f>
        <v>0</v>
      </c>
      <c r="CG39" s="50">
        <f t="shared" si="31"/>
        <v>25</v>
      </c>
      <c r="CH39" s="46">
        <f t="shared" si="32"/>
        <v>38</v>
      </c>
      <c r="CI39" s="49">
        <f t="shared" si="33"/>
        <v>4.0666935483870965</v>
      </c>
      <c r="CJ39" s="49" cm="1">
        <f t="array" ref="CJ39">$BC39 * IF($AD39&lt;=2,
SUMPRODUCT(INDEX($AL$56:$AN$60,,$AE39), INDEX($AO$56:$AU$60,,$AD39), 1 / ($AV$56:$AV$60*CI39 + (1-$AV$56:$AV$60)*CE39), N($AK$56:$AK$60&gt;$AI39)),
SUMPRODUCT(INDEX($AL$46:$AN$55,,$AE39), INDEX($AO$46:$AU$55,,$AD39), 1 / ($AW$46:$AW$55*CI39 + (1-$AW$46:$AW$55)*CE39), N($AK$46:$AK$55&gt;$AI39))
) / 1000</f>
        <v>0</v>
      </c>
      <c r="CK39" s="50">
        <f t="shared" si="34"/>
        <v>20</v>
      </c>
      <c r="CL39" s="46">
        <f t="shared" si="35"/>
        <v>33</v>
      </c>
      <c r="CM39" s="49">
        <f t="shared" si="36"/>
        <v>4.8487499999999999</v>
      </c>
      <c r="CN39" s="49" cm="1">
        <f t="array" ref="CN39">$BC39 * IF($AD39&lt;=2,
SUMPRODUCT(INDEX($AL$51:$AN$55,,$AE39), INDEX($AO$51:$AU$55,,$AD39), 1 / ($AV$51:$AV$55*CM39 + (1-$AV$51:$AV$55)*CI39), N($AK$51:$AK$55&gt;$AI39)),
SUMPRODUCT(INDEX($AL$36:$AN$45,,$AE39), INDEX($AO$36:$AU$45,,$AD39), 1 / ($AW$36:$AW$45*CM39 + (1-$AW$36:$AW$45)*CI39), N($AK$36:$AK$45&gt;$AI39))
) / 1000</f>
        <v>0</v>
      </c>
      <c r="CO39" s="49" cm="1">
        <f t="array" ref="CO39">$BC39 * IF($AD39&lt;=2,
SUMPRODUCT(INDEX($AL$12:$AN$50,,$AE39), INDEX($AO$12:$AU$50,,$AD39), 1 / ($AV$12:$AV$50*CM39), N($AK$12:$AK$50&gt;$AI39)),
SUMPRODUCT(INDEX($AL$12:$AN$35,,$AE39), INDEX($AO$12:$AU$35,,$AD39), 1 / ($AW$12:$AW$35*CM39), N($AK$12:$AK$35&gt;$AI39))
) / 1000</f>
        <v>0</v>
      </c>
      <c r="CP39" s="46">
        <f t="shared" si="37"/>
        <v>0</v>
      </c>
      <c r="CQ39" s="20"/>
    </row>
    <row r="40" spans="1:95" s="95" customFormat="1" ht="14.25" customHeight="1" x14ac:dyDescent="0.25">
      <c r="A40" s="36" t="b">
        <f t="shared" si="0"/>
        <v>0</v>
      </c>
      <c r="B40" s="94">
        <v>29</v>
      </c>
      <c r="C40" s="7"/>
      <c r="D40" s="7"/>
      <c r="E40" s="33"/>
      <c r="F40" s="8" t="str">
        <f>IF(ISBLANK(E40), "", VLOOKUP(E40, Z!$A$2:$C$4127, 3, FALSE))</f>
        <v/>
      </c>
      <c r="G40" s="44"/>
      <c r="H40" s="44"/>
      <c r="I40" s="107"/>
      <c r="J40" s="108"/>
      <c r="K40" s="34"/>
      <c r="L40" s="59"/>
      <c r="M40" s="58" t="str" cm="1">
        <f t="array" ref="M40">IF($K40&gt;0, INDEX(Clean,1+AG40,$B$1), "")</f>
        <v/>
      </c>
      <c r="N40" s="62"/>
      <c r="O40" s="62"/>
      <c r="P40" s="63"/>
      <c r="Q40" s="52">
        <f t="shared" si="7"/>
        <v>0</v>
      </c>
      <c r="R40" s="58" t="str" cm="1">
        <f t="array" ref="R40">IF($K40&gt;0, INDEX(Clean,1+AH40,$B$1), "")</f>
        <v/>
      </c>
      <c r="S40" s="62"/>
      <c r="T40" s="62"/>
      <c r="U40" s="63"/>
      <c r="V40" s="52">
        <f t="shared" si="8"/>
        <v>0</v>
      </c>
      <c r="W40" s="6"/>
      <c r="X40" s="7"/>
      <c r="Y40" s="33"/>
      <c r="Z40" s="8" t="str">
        <f>IF(ISBLANK(Y40), "", VLOOKUP(Y40, Z!$A$2:$C$4127, 3, FALSE))</f>
        <v/>
      </c>
      <c r="AA40" s="38"/>
      <c r="AB40" s="9">
        <f t="shared" si="1"/>
        <v>0</v>
      </c>
      <c r="AC40" s="20"/>
      <c r="AD40" s="41">
        <f t="shared" si="2"/>
        <v>1</v>
      </c>
      <c r="AE40" s="41">
        <f t="shared" si="3"/>
        <v>1</v>
      </c>
      <c r="AF40" s="41">
        <f t="shared" si="4"/>
        <v>0</v>
      </c>
      <c r="AG40" s="41">
        <v>1</v>
      </c>
      <c r="AH40" s="41">
        <v>0</v>
      </c>
      <c r="AI40" s="41">
        <f t="shared" si="5"/>
        <v>-100</v>
      </c>
      <c r="AJ40" s="20"/>
      <c r="AK40" s="41">
        <v>9</v>
      </c>
      <c r="AL40" s="50">
        <v>366</v>
      </c>
      <c r="AM40" s="50">
        <v>359</v>
      </c>
      <c r="AN40" s="50">
        <v>339</v>
      </c>
      <c r="AO40" s="48">
        <f t="shared" si="6"/>
        <v>0</v>
      </c>
      <c r="AP40" s="48">
        <f t="shared" si="6"/>
        <v>0</v>
      </c>
      <c r="AQ40" s="48" cm="1">
        <f t="array" ref="AQ40">MIN(INDEX(Use,AQ$10,5) + MAX(0, (1-INDEX(Use,AQ$10,5))*($AK40-5)/(35-5)), 1)</f>
        <v>0.48000000000000004</v>
      </c>
      <c r="AR40" s="48" cm="1">
        <f t="array" ref="AR40">MIN(INDEX(Use,AR$10,5) + MAX(0, (1-INDEX(Use,AR$10,5))*($AK40-5)/(35-5)), 1)</f>
        <v>0.65333333333333332</v>
      </c>
      <c r="AS40" s="48" cm="1">
        <f t="array" ref="AS40">MIN(INDEX(Use,AS$10,5) + MAX(0, (1-INDEX(Use,AS$10,5))*($AK40-5)/(35-5)), 1)</f>
        <v>0.82666666666666666</v>
      </c>
      <c r="AT40" s="48" cm="1">
        <f t="array" ref="AT40">MIN(INDEX(Use,AT$10,5) + MAX(0, (1-INDEX(Use,AT$10,5))*($AK40-5)/(35-5)), 1)</f>
        <v>0.82666666666666666</v>
      </c>
      <c r="AU40" s="48" cm="1">
        <f t="array" ref="AU40">MIN(INDEX(Use,AU$10,5) + MAX(0, (1-INDEX(Use,AU$10,5))*($AK40-5)/(35-5)), 1)</f>
        <v>0.82666666666666666</v>
      </c>
      <c r="AV40" s="48">
        <v>1</v>
      </c>
      <c r="AW40" s="48">
        <v>0.6</v>
      </c>
      <c r="AX40" s="15"/>
      <c r="AY40" s="41" cm="1">
        <f t="array" ref="AY40">INDEX(Use, $AD40, 4)</f>
        <v>7</v>
      </c>
      <c r="AZ40" s="41">
        <f t="shared" si="9"/>
        <v>32</v>
      </c>
      <c r="BA40" s="41">
        <f t="shared" si="10"/>
        <v>13</v>
      </c>
      <c r="BB40" s="41">
        <f t="shared" si="11"/>
        <v>0</v>
      </c>
      <c r="BC40" s="57" cm="1">
        <f t="array" ref="BC40">K40/IF($L40&gt;0, INDEX($AO$12:$AU$66, $L40+20, $AD40), 1)</f>
        <v>0</v>
      </c>
      <c r="BD40" s="46">
        <f t="shared" si="12"/>
        <v>0</v>
      </c>
      <c r="BE40" s="41">
        <v>35</v>
      </c>
      <c r="BF40" s="46">
        <f t="shared" si="13"/>
        <v>52.55</v>
      </c>
      <c r="BG40" s="49">
        <f t="shared" si="14"/>
        <v>2.7676728869374316</v>
      </c>
      <c r="BH40" s="49" cm="1">
        <f t="array" ref="BH40">$BC40 * SUMPRODUCT(INDEX($AL$66:$AN$71,,$AE40),INDEX($AO$66:$AU$71,,$AD40), N($AK$66:$AK$71&gt;$AI40)) / BG40 / 1000</f>
        <v>0</v>
      </c>
      <c r="BI40" s="50">
        <f t="shared" si="15"/>
        <v>30</v>
      </c>
      <c r="BJ40" s="46">
        <f t="shared" si="16"/>
        <v>46.033333333333331</v>
      </c>
      <c r="BK40" s="49">
        <f t="shared" si="17"/>
        <v>3.2297395388556791</v>
      </c>
      <c r="BL40" s="49" cm="1">
        <f t="array" ref="BL40">$BC40 * IF($AD40&lt;=2,
SUMPRODUCT(INDEX($AL$61:$AN$65,,$AE40), INDEX($AO$61:$AU$65,,$AD40), 1 / ($AV$61:$AV$65*BK40 + (1-$AV$61:$AV$65)*BG40), N($AK$61:$AK$65&gt;$AI40)),
SUMPRODUCT(INDEX($AL$56:$AN$65,,$AE40), INDEX($AO$56:$AU$65,,$AD40), 1 / ($AW$56:$AW$65*BK40 + (1-$AW$56:$AW$65)*BG40), N($AK$56:$AK$65&gt;$AI40))
) / 1000</f>
        <v>0</v>
      </c>
      <c r="BM40" s="50">
        <f t="shared" si="18"/>
        <v>25</v>
      </c>
      <c r="BN40" s="46">
        <f t="shared" si="19"/>
        <v>39.516666666666666</v>
      </c>
      <c r="BO40" s="49">
        <f t="shared" si="20"/>
        <v>3.877011788826243</v>
      </c>
      <c r="BP40" s="49" cm="1">
        <f t="array" ref="BP40">$BC40 * IF($AD40&lt;=2,
SUMPRODUCT(INDEX($AL$56:$AN$60,,$AE40), INDEX($AO$56:$AU$60,,$AD40), 1 / ($AV$56:$AV$60*BO40 + (1-$AV$56:$AV$60)*BK40), N($AK$56:$AK$60&gt;$AI40)),
SUMPRODUCT(INDEX($AL$46:$AN$55,,$AE40), INDEX($AO$46:$AU$55,,$AD40), 1 / ($AW$46:$AW$55*BO40 + (1-$AW$46:$AW$55)*BK40), N($AK$46:$AK$55&gt;$AI40))
) / 1000</f>
        <v>0</v>
      </c>
      <c r="BQ40" s="50">
        <f t="shared" si="21"/>
        <v>20</v>
      </c>
      <c r="BR40" s="46">
        <f t="shared" si="22"/>
        <v>33</v>
      </c>
      <c r="BS40" s="49">
        <f t="shared" si="23"/>
        <v>4.8487499999999999</v>
      </c>
      <c r="BT40" s="49" cm="1">
        <f t="array" ref="BT40">$BC40 * IF($AD40&lt;=2,
SUMPRODUCT(INDEX($AL$51:$AN$55,,$AE40), INDEX($AO$51:$AU$55,,$AD40), 1 / ($AV$51:$AV$55*BS40 + (1-$AV$51:$AV$55)*BO40), N($AK$51:$AK$55&gt;$AI40)),
SUMPRODUCT(INDEX($AL$36:$AN$45,,$AE40), INDEX($AO$36:$AU$45,,$AD40), 1 / ($AW$36:$AW$45*BS40 + (1-$AW$36:$AW$45)*BO40), N($AK$36:$AK$45&gt;$AI40))
) / 1000</f>
        <v>0</v>
      </c>
      <c r="BU40" s="49" cm="1">
        <f t="array" ref="BU40">$BC40 * IF($AD40&lt;=2,
SUMPRODUCT(INDEX($AL$12:$AN$50,,$AE40), INDEX($AO$12:$AU$50,,$AD40), 1 / ($AV$12:$AV$50*BS40), N($AK$12:$AK$50&gt;$AI40)),
SUMPRODUCT(INDEX($AL$12:$AN$35,,$AE40), INDEX($AO$12:$AU$35,,$AD40), 1 / ($AW$12:$AW$35*BS40), N($AK$12:$AK$35&gt;$AI40))
) / 1000</f>
        <v>0</v>
      </c>
      <c r="BV40" s="46">
        <f t="shared" si="24"/>
        <v>0</v>
      </c>
      <c r="BW40" s="20"/>
      <c r="BX40" s="46">
        <f t="shared" si="25"/>
        <v>0</v>
      </c>
      <c r="BY40" s="41">
        <v>35</v>
      </c>
      <c r="BZ40" s="46">
        <f t="shared" si="26"/>
        <v>48</v>
      </c>
      <c r="CA40" s="49">
        <f t="shared" si="27"/>
        <v>3.0748170731707316</v>
      </c>
      <c r="CB40" s="49" cm="1">
        <f t="array" ref="CB40">$BC40 * SUMPRODUCT(INDEX($AL$66:$AN$71,,$AE40),INDEX($AO$66:$AU$71,,$AD40), N($AK$66:$AK$71&gt;$AI40)) / CA40 / 1000</f>
        <v>0</v>
      </c>
      <c r="CC40" s="50">
        <f t="shared" si="28"/>
        <v>30</v>
      </c>
      <c r="CD40" s="46">
        <f t="shared" si="29"/>
        <v>43</v>
      </c>
      <c r="CE40" s="49">
        <f t="shared" si="30"/>
        <v>3.5018750000000001</v>
      </c>
      <c r="CF40" s="49" cm="1">
        <f t="array" ref="CF40">$BC40 * IF($AD40&lt;=2,
SUMPRODUCT(INDEX($AL$61:$AN$65,,$AE40), INDEX($AO$61:$AU$65,,$AD40), 1 / ($AV$61:$AV$65*CE40 + (1-$AV$61:$AV$65)*CA40), N($AK$61:$AK$65&gt;$AI40)),
SUMPRODUCT(INDEX($AL$56:$AN$65,,$AE40), INDEX($AO$56:$AU$65,,$AD40), 1 / ($AW$56:$AW$65*CE40 + (1-$AW$56:$AW$65)*CA40), N($AK$56:$AK$65&gt;$AI40))
) / 1000</f>
        <v>0</v>
      </c>
      <c r="CG40" s="50">
        <f t="shared" si="31"/>
        <v>25</v>
      </c>
      <c r="CH40" s="46">
        <f t="shared" si="32"/>
        <v>38</v>
      </c>
      <c r="CI40" s="49">
        <f t="shared" si="33"/>
        <v>4.0666935483870965</v>
      </c>
      <c r="CJ40" s="49" cm="1">
        <f t="array" ref="CJ40">$BC40 * IF($AD40&lt;=2,
SUMPRODUCT(INDEX($AL$56:$AN$60,,$AE40), INDEX($AO$56:$AU$60,,$AD40), 1 / ($AV$56:$AV$60*CI40 + (1-$AV$56:$AV$60)*CE40), N($AK$56:$AK$60&gt;$AI40)),
SUMPRODUCT(INDEX($AL$46:$AN$55,,$AE40), INDEX($AO$46:$AU$55,,$AD40), 1 / ($AW$46:$AW$55*CI40 + (1-$AW$46:$AW$55)*CE40), N($AK$46:$AK$55&gt;$AI40))
) / 1000</f>
        <v>0</v>
      </c>
      <c r="CK40" s="50">
        <f t="shared" si="34"/>
        <v>20</v>
      </c>
      <c r="CL40" s="46">
        <f t="shared" si="35"/>
        <v>33</v>
      </c>
      <c r="CM40" s="49">
        <f t="shared" si="36"/>
        <v>4.8487499999999999</v>
      </c>
      <c r="CN40" s="49" cm="1">
        <f t="array" ref="CN40">$BC40 * IF($AD40&lt;=2,
SUMPRODUCT(INDEX($AL$51:$AN$55,,$AE40), INDEX($AO$51:$AU$55,,$AD40), 1 / ($AV$51:$AV$55*CM40 + (1-$AV$51:$AV$55)*CI40), N($AK$51:$AK$55&gt;$AI40)),
SUMPRODUCT(INDEX($AL$36:$AN$45,,$AE40), INDEX($AO$36:$AU$45,,$AD40), 1 / ($AW$36:$AW$45*CM40 + (1-$AW$36:$AW$45)*CI40), N($AK$36:$AK$45&gt;$AI40))
) / 1000</f>
        <v>0</v>
      </c>
      <c r="CO40" s="49" cm="1">
        <f t="array" ref="CO40">$BC40 * IF($AD40&lt;=2,
SUMPRODUCT(INDEX($AL$12:$AN$50,,$AE40), INDEX($AO$12:$AU$50,,$AD40), 1 / ($AV$12:$AV$50*CM40), N($AK$12:$AK$50&gt;$AI40)),
SUMPRODUCT(INDEX($AL$12:$AN$35,,$AE40), INDEX($AO$12:$AU$35,,$AD40), 1 / ($AW$12:$AW$35*CM40), N($AK$12:$AK$35&gt;$AI40))
) / 1000</f>
        <v>0</v>
      </c>
      <c r="CP40" s="46">
        <f t="shared" si="37"/>
        <v>0</v>
      </c>
      <c r="CQ40" s="20"/>
    </row>
    <row r="41" spans="1:95" s="95" customFormat="1" ht="14.25" customHeight="1" x14ac:dyDescent="0.25">
      <c r="A41" s="36" t="b">
        <f t="shared" si="0"/>
        <v>0</v>
      </c>
      <c r="B41" s="94">
        <v>30</v>
      </c>
      <c r="C41" s="7"/>
      <c r="D41" s="7"/>
      <c r="E41" s="33"/>
      <c r="F41" s="8" t="str">
        <f>IF(ISBLANK(E41), "", VLOOKUP(E41, Z!$A$2:$C$4127, 3, FALSE))</f>
        <v/>
      </c>
      <c r="G41" s="44"/>
      <c r="H41" s="44"/>
      <c r="I41" s="107"/>
      <c r="J41" s="108"/>
      <c r="K41" s="34"/>
      <c r="L41" s="59"/>
      <c r="M41" s="58" t="str" cm="1">
        <f t="array" ref="M41">IF($K41&gt;0, INDEX(Clean,1+AG41,$B$1), "")</f>
        <v/>
      </c>
      <c r="N41" s="62"/>
      <c r="O41" s="62"/>
      <c r="P41" s="63"/>
      <c r="Q41" s="52">
        <f t="shared" si="7"/>
        <v>0</v>
      </c>
      <c r="R41" s="58" t="str" cm="1">
        <f t="array" ref="R41">IF($K41&gt;0, INDEX(Clean,1+AH41,$B$1), "")</f>
        <v/>
      </c>
      <c r="S41" s="62"/>
      <c r="T41" s="62"/>
      <c r="U41" s="63"/>
      <c r="V41" s="52">
        <f t="shared" si="8"/>
        <v>0</v>
      </c>
      <c r="W41" s="6"/>
      <c r="X41" s="7"/>
      <c r="Y41" s="33"/>
      <c r="Z41" s="8" t="str">
        <f>IF(ISBLANK(Y41), "", VLOOKUP(Y41, Z!$A$2:$C$4127, 3, FALSE))</f>
        <v/>
      </c>
      <c r="AA41" s="38"/>
      <c r="AB41" s="9">
        <f t="shared" si="1"/>
        <v>0</v>
      </c>
      <c r="AC41" s="20"/>
      <c r="AD41" s="41">
        <f t="shared" si="2"/>
        <v>1</v>
      </c>
      <c r="AE41" s="41">
        <f t="shared" si="3"/>
        <v>1</v>
      </c>
      <c r="AF41" s="41">
        <f t="shared" si="4"/>
        <v>0</v>
      </c>
      <c r="AG41" s="41">
        <v>1</v>
      </c>
      <c r="AH41" s="41">
        <v>0</v>
      </c>
      <c r="AI41" s="41">
        <f t="shared" si="5"/>
        <v>-100</v>
      </c>
      <c r="AJ41" s="20"/>
      <c r="AK41" s="41">
        <v>10</v>
      </c>
      <c r="AL41" s="50">
        <v>339</v>
      </c>
      <c r="AM41" s="50">
        <v>346</v>
      </c>
      <c r="AN41" s="50">
        <v>318</v>
      </c>
      <c r="AO41" s="48">
        <f t="shared" si="6"/>
        <v>0</v>
      </c>
      <c r="AP41" s="48">
        <f t="shared" si="6"/>
        <v>0</v>
      </c>
      <c r="AQ41" s="48" cm="1">
        <f t="array" ref="AQ41">MIN(INDEX(Use,AQ$10,5) + MAX(0, (1-INDEX(Use,AQ$10,5))*($AK41-5)/(35-5)), 1)</f>
        <v>0.5</v>
      </c>
      <c r="AR41" s="48" cm="1">
        <f t="array" ref="AR41">MIN(INDEX(Use,AR$10,5) + MAX(0, (1-INDEX(Use,AR$10,5))*($AK41-5)/(35-5)), 1)</f>
        <v>0.66666666666666663</v>
      </c>
      <c r="AS41" s="48" cm="1">
        <f t="array" ref="AS41">MIN(INDEX(Use,AS$10,5) + MAX(0, (1-INDEX(Use,AS$10,5))*($AK41-5)/(35-5)), 1)</f>
        <v>0.83333333333333337</v>
      </c>
      <c r="AT41" s="48" cm="1">
        <f t="array" ref="AT41">MIN(INDEX(Use,AT$10,5) + MAX(0, (1-INDEX(Use,AT$10,5))*($AK41-5)/(35-5)), 1)</f>
        <v>0.83333333333333337</v>
      </c>
      <c r="AU41" s="48" cm="1">
        <f t="array" ref="AU41">MIN(INDEX(Use,AU$10,5) + MAX(0, (1-INDEX(Use,AU$10,5))*($AK41-5)/(35-5)), 1)</f>
        <v>0.83333333333333337</v>
      </c>
      <c r="AV41" s="48">
        <v>1</v>
      </c>
      <c r="AW41" s="48">
        <v>0.5</v>
      </c>
      <c r="AX41" s="15"/>
      <c r="AY41" s="41" cm="1">
        <f t="array" ref="AY41">INDEX(Use, $AD41, 4)</f>
        <v>7</v>
      </c>
      <c r="AZ41" s="41">
        <f t="shared" si="9"/>
        <v>32</v>
      </c>
      <c r="BA41" s="41">
        <f t="shared" si="10"/>
        <v>13</v>
      </c>
      <c r="BB41" s="41">
        <f t="shared" si="11"/>
        <v>0</v>
      </c>
      <c r="BC41" s="57" cm="1">
        <f t="array" ref="BC41">K41/IF($L41&gt;0, INDEX($AO$12:$AU$66, $L41+20, $AD41), 1)</f>
        <v>0</v>
      </c>
      <c r="BD41" s="46">
        <f t="shared" si="12"/>
        <v>0</v>
      </c>
      <c r="BE41" s="41">
        <v>35</v>
      </c>
      <c r="BF41" s="46">
        <f t="shared" si="13"/>
        <v>52.55</v>
      </c>
      <c r="BG41" s="49">
        <f t="shared" si="14"/>
        <v>2.7676728869374316</v>
      </c>
      <c r="BH41" s="49" cm="1">
        <f t="array" ref="BH41">$BC41 * SUMPRODUCT(INDEX($AL$66:$AN$71,,$AE41),INDEX($AO$66:$AU$71,,$AD41), N($AK$66:$AK$71&gt;$AI41)) / BG41 / 1000</f>
        <v>0</v>
      </c>
      <c r="BI41" s="50">
        <f t="shared" si="15"/>
        <v>30</v>
      </c>
      <c r="BJ41" s="46">
        <f t="shared" si="16"/>
        <v>46.033333333333331</v>
      </c>
      <c r="BK41" s="49">
        <f t="shared" si="17"/>
        <v>3.2297395388556791</v>
      </c>
      <c r="BL41" s="49" cm="1">
        <f t="array" ref="BL41">$BC41 * IF($AD41&lt;=2,
SUMPRODUCT(INDEX($AL$61:$AN$65,,$AE41), INDEX($AO$61:$AU$65,,$AD41), 1 / ($AV$61:$AV$65*BK41 + (1-$AV$61:$AV$65)*BG41), N($AK$61:$AK$65&gt;$AI41)),
SUMPRODUCT(INDEX($AL$56:$AN$65,,$AE41), INDEX($AO$56:$AU$65,,$AD41), 1 / ($AW$56:$AW$65*BK41 + (1-$AW$56:$AW$65)*BG41), N($AK$56:$AK$65&gt;$AI41))
) / 1000</f>
        <v>0</v>
      </c>
      <c r="BM41" s="50">
        <f t="shared" si="18"/>
        <v>25</v>
      </c>
      <c r="BN41" s="46">
        <f t="shared" si="19"/>
        <v>39.516666666666666</v>
      </c>
      <c r="BO41" s="49">
        <f t="shared" si="20"/>
        <v>3.877011788826243</v>
      </c>
      <c r="BP41" s="49" cm="1">
        <f t="array" ref="BP41">$BC41 * IF($AD41&lt;=2,
SUMPRODUCT(INDEX($AL$56:$AN$60,,$AE41), INDEX($AO$56:$AU$60,,$AD41), 1 / ($AV$56:$AV$60*BO41 + (1-$AV$56:$AV$60)*BK41), N($AK$56:$AK$60&gt;$AI41)),
SUMPRODUCT(INDEX($AL$46:$AN$55,,$AE41), INDEX($AO$46:$AU$55,,$AD41), 1 / ($AW$46:$AW$55*BO41 + (1-$AW$46:$AW$55)*BK41), N($AK$46:$AK$55&gt;$AI41))
) / 1000</f>
        <v>0</v>
      </c>
      <c r="BQ41" s="50">
        <f t="shared" si="21"/>
        <v>20</v>
      </c>
      <c r="BR41" s="46">
        <f t="shared" si="22"/>
        <v>33</v>
      </c>
      <c r="BS41" s="49">
        <f t="shared" si="23"/>
        <v>4.8487499999999999</v>
      </c>
      <c r="BT41" s="49" cm="1">
        <f t="array" ref="BT41">$BC41 * IF($AD41&lt;=2,
SUMPRODUCT(INDEX($AL$51:$AN$55,,$AE41), INDEX($AO$51:$AU$55,,$AD41), 1 / ($AV$51:$AV$55*BS41 + (1-$AV$51:$AV$55)*BO41), N($AK$51:$AK$55&gt;$AI41)),
SUMPRODUCT(INDEX($AL$36:$AN$45,,$AE41), INDEX($AO$36:$AU$45,,$AD41), 1 / ($AW$36:$AW$45*BS41 + (1-$AW$36:$AW$45)*BO41), N($AK$36:$AK$45&gt;$AI41))
) / 1000</f>
        <v>0</v>
      </c>
      <c r="BU41" s="49" cm="1">
        <f t="array" ref="BU41">$BC41 * IF($AD41&lt;=2,
SUMPRODUCT(INDEX($AL$12:$AN$50,,$AE41), INDEX($AO$12:$AU$50,,$AD41), 1 / ($AV$12:$AV$50*BS41), N($AK$12:$AK$50&gt;$AI41)),
SUMPRODUCT(INDEX($AL$12:$AN$35,,$AE41), INDEX($AO$12:$AU$35,,$AD41), 1 / ($AW$12:$AW$35*BS41), N($AK$12:$AK$35&gt;$AI41))
) / 1000</f>
        <v>0</v>
      </c>
      <c r="BV41" s="46">
        <f t="shared" si="24"/>
        <v>0</v>
      </c>
      <c r="BW41" s="20"/>
      <c r="BX41" s="46">
        <f t="shared" si="25"/>
        <v>0</v>
      </c>
      <c r="BY41" s="41">
        <v>35</v>
      </c>
      <c r="BZ41" s="46">
        <f t="shared" si="26"/>
        <v>48</v>
      </c>
      <c r="CA41" s="49">
        <f t="shared" si="27"/>
        <v>3.0748170731707316</v>
      </c>
      <c r="CB41" s="49" cm="1">
        <f t="array" ref="CB41">$BC41 * SUMPRODUCT(INDEX($AL$66:$AN$71,,$AE41),INDEX($AO$66:$AU$71,,$AD41), N($AK$66:$AK$71&gt;$AI41)) / CA41 / 1000</f>
        <v>0</v>
      </c>
      <c r="CC41" s="50">
        <f t="shared" si="28"/>
        <v>30</v>
      </c>
      <c r="CD41" s="46">
        <f t="shared" si="29"/>
        <v>43</v>
      </c>
      <c r="CE41" s="49">
        <f t="shared" si="30"/>
        <v>3.5018750000000001</v>
      </c>
      <c r="CF41" s="49" cm="1">
        <f t="array" ref="CF41">$BC41 * IF($AD41&lt;=2,
SUMPRODUCT(INDEX($AL$61:$AN$65,,$AE41), INDEX($AO$61:$AU$65,,$AD41), 1 / ($AV$61:$AV$65*CE41 + (1-$AV$61:$AV$65)*CA41), N($AK$61:$AK$65&gt;$AI41)),
SUMPRODUCT(INDEX($AL$56:$AN$65,,$AE41), INDEX($AO$56:$AU$65,,$AD41), 1 / ($AW$56:$AW$65*CE41 + (1-$AW$56:$AW$65)*CA41), N($AK$56:$AK$65&gt;$AI41))
) / 1000</f>
        <v>0</v>
      </c>
      <c r="CG41" s="50">
        <f t="shared" si="31"/>
        <v>25</v>
      </c>
      <c r="CH41" s="46">
        <f t="shared" si="32"/>
        <v>38</v>
      </c>
      <c r="CI41" s="49">
        <f t="shared" si="33"/>
        <v>4.0666935483870965</v>
      </c>
      <c r="CJ41" s="49" cm="1">
        <f t="array" ref="CJ41">$BC41 * IF($AD41&lt;=2,
SUMPRODUCT(INDEX($AL$56:$AN$60,,$AE41), INDEX($AO$56:$AU$60,,$AD41), 1 / ($AV$56:$AV$60*CI41 + (1-$AV$56:$AV$60)*CE41), N($AK$56:$AK$60&gt;$AI41)),
SUMPRODUCT(INDEX($AL$46:$AN$55,,$AE41), INDEX($AO$46:$AU$55,,$AD41), 1 / ($AW$46:$AW$55*CI41 + (1-$AW$46:$AW$55)*CE41), N($AK$46:$AK$55&gt;$AI41))
) / 1000</f>
        <v>0</v>
      </c>
      <c r="CK41" s="50">
        <f t="shared" si="34"/>
        <v>20</v>
      </c>
      <c r="CL41" s="46">
        <f t="shared" si="35"/>
        <v>33</v>
      </c>
      <c r="CM41" s="49">
        <f t="shared" si="36"/>
        <v>4.8487499999999999</v>
      </c>
      <c r="CN41" s="49" cm="1">
        <f t="array" ref="CN41">$BC41 * IF($AD41&lt;=2,
SUMPRODUCT(INDEX($AL$51:$AN$55,,$AE41), INDEX($AO$51:$AU$55,,$AD41), 1 / ($AV$51:$AV$55*CM41 + (1-$AV$51:$AV$55)*CI41), N($AK$51:$AK$55&gt;$AI41)),
SUMPRODUCT(INDEX($AL$36:$AN$45,,$AE41), INDEX($AO$36:$AU$45,,$AD41), 1 / ($AW$36:$AW$45*CM41 + (1-$AW$36:$AW$45)*CI41), N($AK$36:$AK$45&gt;$AI41))
) / 1000</f>
        <v>0</v>
      </c>
      <c r="CO41" s="49" cm="1">
        <f t="array" ref="CO41">$BC41 * IF($AD41&lt;=2,
SUMPRODUCT(INDEX($AL$12:$AN$50,,$AE41), INDEX($AO$12:$AU$50,,$AD41), 1 / ($AV$12:$AV$50*CM41), N($AK$12:$AK$50&gt;$AI41)),
SUMPRODUCT(INDEX($AL$12:$AN$35,,$AE41), INDEX($AO$12:$AU$35,,$AD41), 1 / ($AW$12:$AW$35*CM41), N($AK$12:$AK$35&gt;$AI41))
) / 1000</f>
        <v>0</v>
      </c>
      <c r="CP41" s="46">
        <f t="shared" si="37"/>
        <v>0</v>
      </c>
      <c r="CQ41" s="20"/>
    </row>
    <row r="42" spans="1:95" s="95" customFormat="1" ht="14.25" customHeight="1" x14ac:dyDescent="0.25">
      <c r="A42" s="36" t="b">
        <f t="shared" si="0"/>
        <v>0</v>
      </c>
      <c r="B42" s="94">
        <v>31</v>
      </c>
      <c r="C42" s="7"/>
      <c r="D42" s="7"/>
      <c r="E42" s="33"/>
      <c r="F42" s="8" t="str">
        <f>IF(ISBLANK(E42), "", VLOOKUP(E42, Z!$A$2:$C$4127, 3, FALSE))</f>
        <v/>
      </c>
      <c r="G42" s="44"/>
      <c r="H42" s="44"/>
      <c r="I42" s="107"/>
      <c r="J42" s="108"/>
      <c r="K42" s="34"/>
      <c r="L42" s="59"/>
      <c r="M42" s="58" t="str" cm="1">
        <f t="array" ref="M42">IF($K42&gt;0, INDEX(Clean,1+AG42,$B$1), "")</f>
        <v/>
      </c>
      <c r="N42" s="62"/>
      <c r="O42" s="62"/>
      <c r="P42" s="63"/>
      <c r="Q42" s="52">
        <f t="shared" si="7"/>
        <v>0</v>
      </c>
      <c r="R42" s="58" t="str" cm="1">
        <f t="array" ref="R42">IF($K42&gt;0, INDEX(Clean,1+AH42,$B$1), "")</f>
        <v/>
      </c>
      <c r="S42" s="62"/>
      <c r="T42" s="62"/>
      <c r="U42" s="63"/>
      <c r="V42" s="52">
        <f t="shared" si="8"/>
        <v>0</v>
      </c>
      <c r="W42" s="6"/>
      <c r="X42" s="7"/>
      <c r="Y42" s="33"/>
      <c r="Z42" s="8" t="str">
        <f>IF(ISBLANK(Y42), "", VLOOKUP(Y42, Z!$A$2:$C$4127, 3, FALSE))</f>
        <v/>
      </c>
      <c r="AA42" s="38"/>
      <c r="AB42" s="9">
        <f t="shared" si="1"/>
        <v>0</v>
      </c>
      <c r="AC42" s="20"/>
      <c r="AD42" s="41">
        <f t="shared" si="2"/>
        <v>1</v>
      </c>
      <c r="AE42" s="41">
        <f t="shared" si="3"/>
        <v>1</v>
      </c>
      <c r="AF42" s="41">
        <f t="shared" si="4"/>
        <v>0</v>
      </c>
      <c r="AG42" s="41">
        <v>1</v>
      </c>
      <c r="AH42" s="41">
        <v>0</v>
      </c>
      <c r="AI42" s="41">
        <f t="shared" si="5"/>
        <v>-100</v>
      </c>
      <c r="AJ42" s="20"/>
      <c r="AK42" s="41">
        <v>11</v>
      </c>
      <c r="AL42" s="50">
        <v>329</v>
      </c>
      <c r="AM42" s="50">
        <v>376</v>
      </c>
      <c r="AN42" s="50">
        <v>368</v>
      </c>
      <c r="AO42" s="48">
        <f t="shared" si="6"/>
        <v>0</v>
      </c>
      <c r="AP42" s="48">
        <f t="shared" si="6"/>
        <v>0</v>
      </c>
      <c r="AQ42" s="48" cm="1">
        <f t="array" ref="AQ42">MIN(INDEX(Use,AQ$10,5) + MAX(0, (1-INDEX(Use,AQ$10,5))*($AK42-5)/(35-5)), 1)</f>
        <v>0.52</v>
      </c>
      <c r="AR42" s="48" cm="1">
        <f t="array" ref="AR42">MIN(INDEX(Use,AR$10,5) + MAX(0, (1-INDEX(Use,AR$10,5))*($AK42-5)/(35-5)), 1)</f>
        <v>0.67999999999999994</v>
      </c>
      <c r="AS42" s="48" cm="1">
        <f t="array" ref="AS42">MIN(INDEX(Use,AS$10,5) + MAX(0, (1-INDEX(Use,AS$10,5))*($AK42-5)/(35-5)), 1)</f>
        <v>0.84000000000000008</v>
      </c>
      <c r="AT42" s="48" cm="1">
        <f t="array" ref="AT42">MIN(INDEX(Use,AT$10,5) + MAX(0, (1-INDEX(Use,AT$10,5))*($AK42-5)/(35-5)), 1)</f>
        <v>0.84000000000000008</v>
      </c>
      <c r="AU42" s="48" cm="1">
        <f t="array" ref="AU42">MIN(INDEX(Use,AU$10,5) + MAX(0, (1-INDEX(Use,AU$10,5))*($AK42-5)/(35-5)), 1)</f>
        <v>0.84000000000000008</v>
      </c>
      <c r="AV42" s="48">
        <v>1</v>
      </c>
      <c r="AW42" s="48">
        <v>0.4</v>
      </c>
      <c r="AX42" s="15"/>
      <c r="AY42" s="41" cm="1">
        <f t="array" ref="AY42">INDEX(Use, $AD42, 4)</f>
        <v>7</v>
      </c>
      <c r="AZ42" s="41">
        <f t="shared" si="9"/>
        <v>32</v>
      </c>
      <c r="BA42" s="41">
        <f t="shared" si="10"/>
        <v>13</v>
      </c>
      <c r="BB42" s="41">
        <f t="shared" si="11"/>
        <v>0</v>
      </c>
      <c r="BC42" s="57" cm="1">
        <f t="array" ref="BC42">K42/IF($L42&gt;0, INDEX($AO$12:$AU$66, $L42+20, $AD42), 1)</f>
        <v>0</v>
      </c>
      <c r="BD42" s="46">
        <f t="shared" si="12"/>
        <v>0</v>
      </c>
      <c r="BE42" s="41">
        <v>35</v>
      </c>
      <c r="BF42" s="46">
        <f t="shared" si="13"/>
        <v>52.55</v>
      </c>
      <c r="BG42" s="49">
        <f t="shared" si="14"/>
        <v>2.7676728869374316</v>
      </c>
      <c r="BH42" s="49" cm="1">
        <f t="array" ref="BH42">$BC42 * SUMPRODUCT(INDEX($AL$66:$AN$71,,$AE42),INDEX($AO$66:$AU$71,,$AD42), N($AK$66:$AK$71&gt;$AI42)) / BG42 / 1000</f>
        <v>0</v>
      </c>
      <c r="BI42" s="50">
        <f t="shared" si="15"/>
        <v>30</v>
      </c>
      <c r="BJ42" s="46">
        <f t="shared" si="16"/>
        <v>46.033333333333331</v>
      </c>
      <c r="BK42" s="49">
        <f t="shared" si="17"/>
        <v>3.2297395388556791</v>
      </c>
      <c r="BL42" s="49" cm="1">
        <f t="array" ref="BL42">$BC42 * IF($AD42&lt;=2,
SUMPRODUCT(INDEX($AL$61:$AN$65,,$AE42), INDEX($AO$61:$AU$65,,$AD42), 1 / ($AV$61:$AV$65*BK42 + (1-$AV$61:$AV$65)*BG42), N($AK$61:$AK$65&gt;$AI42)),
SUMPRODUCT(INDEX($AL$56:$AN$65,,$AE42), INDEX($AO$56:$AU$65,,$AD42), 1 / ($AW$56:$AW$65*BK42 + (1-$AW$56:$AW$65)*BG42), N($AK$56:$AK$65&gt;$AI42))
) / 1000</f>
        <v>0</v>
      </c>
      <c r="BM42" s="50">
        <f t="shared" si="18"/>
        <v>25</v>
      </c>
      <c r="BN42" s="46">
        <f t="shared" si="19"/>
        <v>39.516666666666666</v>
      </c>
      <c r="BO42" s="49">
        <f t="shared" si="20"/>
        <v>3.877011788826243</v>
      </c>
      <c r="BP42" s="49" cm="1">
        <f t="array" ref="BP42">$BC42 * IF($AD42&lt;=2,
SUMPRODUCT(INDEX($AL$56:$AN$60,,$AE42), INDEX($AO$56:$AU$60,,$AD42), 1 / ($AV$56:$AV$60*BO42 + (1-$AV$56:$AV$60)*BK42), N($AK$56:$AK$60&gt;$AI42)),
SUMPRODUCT(INDEX($AL$46:$AN$55,,$AE42), INDEX($AO$46:$AU$55,,$AD42), 1 / ($AW$46:$AW$55*BO42 + (1-$AW$46:$AW$55)*BK42), N($AK$46:$AK$55&gt;$AI42))
) / 1000</f>
        <v>0</v>
      </c>
      <c r="BQ42" s="50">
        <f t="shared" si="21"/>
        <v>20</v>
      </c>
      <c r="BR42" s="46">
        <f t="shared" si="22"/>
        <v>33</v>
      </c>
      <c r="BS42" s="49">
        <f t="shared" si="23"/>
        <v>4.8487499999999999</v>
      </c>
      <c r="BT42" s="49" cm="1">
        <f t="array" ref="BT42">$BC42 * IF($AD42&lt;=2,
SUMPRODUCT(INDEX($AL$51:$AN$55,,$AE42), INDEX($AO$51:$AU$55,,$AD42), 1 / ($AV$51:$AV$55*BS42 + (1-$AV$51:$AV$55)*BO42), N($AK$51:$AK$55&gt;$AI42)),
SUMPRODUCT(INDEX($AL$36:$AN$45,,$AE42), INDEX($AO$36:$AU$45,,$AD42), 1 / ($AW$36:$AW$45*BS42 + (1-$AW$36:$AW$45)*BO42), N($AK$36:$AK$45&gt;$AI42))
) / 1000</f>
        <v>0</v>
      </c>
      <c r="BU42" s="49" cm="1">
        <f t="array" ref="BU42">$BC42 * IF($AD42&lt;=2,
SUMPRODUCT(INDEX($AL$12:$AN$50,,$AE42), INDEX($AO$12:$AU$50,,$AD42), 1 / ($AV$12:$AV$50*BS42), N($AK$12:$AK$50&gt;$AI42)),
SUMPRODUCT(INDEX($AL$12:$AN$35,,$AE42), INDEX($AO$12:$AU$35,,$AD42), 1 / ($AW$12:$AW$35*BS42), N($AK$12:$AK$35&gt;$AI42))
) / 1000</f>
        <v>0</v>
      </c>
      <c r="BV42" s="46">
        <f t="shared" si="24"/>
        <v>0</v>
      </c>
      <c r="BW42" s="20"/>
      <c r="BX42" s="46">
        <f t="shared" si="25"/>
        <v>0</v>
      </c>
      <c r="BY42" s="41">
        <v>35</v>
      </c>
      <c r="BZ42" s="46">
        <f t="shared" si="26"/>
        <v>48</v>
      </c>
      <c r="CA42" s="49">
        <f t="shared" si="27"/>
        <v>3.0748170731707316</v>
      </c>
      <c r="CB42" s="49" cm="1">
        <f t="array" ref="CB42">$BC42 * SUMPRODUCT(INDEX($AL$66:$AN$71,,$AE42),INDEX($AO$66:$AU$71,,$AD42), N($AK$66:$AK$71&gt;$AI42)) / CA42 / 1000</f>
        <v>0</v>
      </c>
      <c r="CC42" s="50">
        <f t="shared" si="28"/>
        <v>30</v>
      </c>
      <c r="CD42" s="46">
        <f t="shared" si="29"/>
        <v>43</v>
      </c>
      <c r="CE42" s="49">
        <f t="shared" si="30"/>
        <v>3.5018750000000001</v>
      </c>
      <c r="CF42" s="49" cm="1">
        <f t="array" ref="CF42">$BC42 * IF($AD42&lt;=2,
SUMPRODUCT(INDEX($AL$61:$AN$65,,$AE42), INDEX($AO$61:$AU$65,,$AD42), 1 / ($AV$61:$AV$65*CE42 + (1-$AV$61:$AV$65)*CA42), N($AK$61:$AK$65&gt;$AI42)),
SUMPRODUCT(INDEX($AL$56:$AN$65,,$AE42), INDEX($AO$56:$AU$65,,$AD42), 1 / ($AW$56:$AW$65*CE42 + (1-$AW$56:$AW$65)*CA42), N($AK$56:$AK$65&gt;$AI42))
) / 1000</f>
        <v>0</v>
      </c>
      <c r="CG42" s="50">
        <f t="shared" si="31"/>
        <v>25</v>
      </c>
      <c r="CH42" s="46">
        <f t="shared" si="32"/>
        <v>38</v>
      </c>
      <c r="CI42" s="49">
        <f t="shared" si="33"/>
        <v>4.0666935483870965</v>
      </c>
      <c r="CJ42" s="49" cm="1">
        <f t="array" ref="CJ42">$BC42 * IF($AD42&lt;=2,
SUMPRODUCT(INDEX($AL$56:$AN$60,,$AE42), INDEX($AO$56:$AU$60,,$AD42), 1 / ($AV$56:$AV$60*CI42 + (1-$AV$56:$AV$60)*CE42), N($AK$56:$AK$60&gt;$AI42)),
SUMPRODUCT(INDEX($AL$46:$AN$55,,$AE42), INDEX($AO$46:$AU$55,,$AD42), 1 / ($AW$46:$AW$55*CI42 + (1-$AW$46:$AW$55)*CE42), N($AK$46:$AK$55&gt;$AI42))
) / 1000</f>
        <v>0</v>
      </c>
      <c r="CK42" s="50">
        <f t="shared" si="34"/>
        <v>20</v>
      </c>
      <c r="CL42" s="46">
        <f t="shared" si="35"/>
        <v>33</v>
      </c>
      <c r="CM42" s="49">
        <f t="shared" si="36"/>
        <v>4.8487499999999999</v>
      </c>
      <c r="CN42" s="49" cm="1">
        <f t="array" ref="CN42">$BC42 * IF($AD42&lt;=2,
SUMPRODUCT(INDEX($AL$51:$AN$55,,$AE42), INDEX($AO$51:$AU$55,,$AD42), 1 / ($AV$51:$AV$55*CM42 + (1-$AV$51:$AV$55)*CI42), N($AK$51:$AK$55&gt;$AI42)),
SUMPRODUCT(INDEX($AL$36:$AN$45,,$AE42), INDEX($AO$36:$AU$45,,$AD42), 1 / ($AW$36:$AW$45*CM42 + (1-$AW$36:$AW$45)*CI42), N($AK$36:$AK$45&gt;$AI42))
) / 1000</f>
        <v>0</v>
      </c>
      <c r="CO42" s="49" cm="1">
        <f t="array" ref="CO42">$BC42 * IF($AD42&lt;=2,
SUMPRODUCT(INDEX($AL$12:$AN$50,,$AE42), INDEX($AO$12:$AU$50,,$AD42), 1 / ($AV$12:$AV$50*CM42), N($AK$12:$AK$50&gt;$AI42)),
SUMPRODUCT(INDEX($AL$12:$AN$35,,$AE42), INDEX($AO$12:$AU$35,,$AD42), 1 / ($AW$12:$AW$35*CM42), N($AK$12:$AK$35&gt;$AI42))
) / 1000</f>
        <v>0</v>
      </c>
      <c r="CP42" s="46">
        <f t="shared" si="37"/>
        <v>0</v>
      </c>
      <c r="CQ42" s="20"/>
    </row>
    <row r="43" spans="1:95" s="95" customFormat="1" ht="14.25" customHeight="1" x14ac:dyDescent="0.25">
      <c r="A43" s="36" t="b">
        <f t="shared" si="0"/>
        <v>0</v>
      </c>
      <c r="B43" s="94">
        <v>32</v>
      </c>
      <c r="C43" s="7"/>
      <c r="D43" s="7"/>
      <c r="E43" s="33"/>
      <c r="F43" s="8" t="str">
        <f>IF(ISBLANK(E43), "", VLOOKUP(E43, Z!$A$2:$C$4127, 3, FALSE))</f>
        <v/>
      </c>
      <c r="G43" s="44"/>
      <c r="H43" s="44"/>
      <c r="I43" s="107"/>
      <c r="J43" s="108"/>
      <c r="K43" s="34"/>
      <c r="L43" s="59"/>
      <c r="M43" s="58" t="str" cm="1">
        <f t="array" ref="M43">IF($K43&gt;0, INDEX(Clean,1+AG43,$B$1), "")</f>
        <v/>
      </c>
      <c r="N43" s="62"/>
      <c r="O43" s="62"/>
      <c r="P43" s="63"/>
      <c r="Q43" s="52">
        <f t="shared" si="7"/>
        <v>0</v>
      </c>
      <c r="R43" s="58" t="str" cm="1">
        <f t="array" ref="R43">IF($K43&gt;0, INDEX(Clean,1+AH43,$B$1), "")</f>
        <v/>
      </c>
      <c r="S43" s="62"/>
      <c r="T43" s="62"/>
      <c r="U43" s="63"/>
      <c r="V43" s="52">
        <f t="shared" si="8"/>
        <v>0</v>
      </c>
      <c r="W43" s="6"/>
      <c r="X43" s="7"/>
      <c r="Y43" s="33"/>
      <c r="Z43" s="8" t="str">
        <f>IF(ISBLANK(Y43), "", VLOOKUP(Y43, Z!$A$2:$C$4127, 3, FALSE))</f>
        <v/>
      </c>
      <c r="AA43" s="38"/>
      <c r="AB43" s="9">
        <f t="shared" si="1"/>
        <v>0</v>
      </c>
      <c r="AC43" s="20"/>
      <c r="AD43" s="41">
        <f t="shared" si="2"/>
        <v>1</v>
      </c>
      <c r="AE43" s="41">
        <f t="shared" si="3"/>
        <v>1</v>
      </c>
      <c r="AF43" s="41">
        <f t="shared" si="4"/>
        <v>0</v>
      </c>
      <c r="AG43" s="41">
        <v>1</v>
      </c>
      <c r="AH43" s="41">
        <v>0</v>
      </c>
      <c r="AI43" s="41">
        <f t="shared" si="5"/>
        <v>-100</v>
      </c>
      <c r="AJ43" s="20"/>
      <c r="AK43" s="41">
        <v>12</v>
      </c>
      <c r="AL43" s="50">
        <v>385</v>
      </c>
      <c r="AM43" s="50">
        <v>427</v>
      </c>
      <c r="AN43" s="50">
        <v>321</v>
      </c>
      <c r="AO43" s="48">
        <f t="shared" si="6"/>
        <v>0</v>
      </c>
      <c r="AP43" s="48">
        <f t="shared" si="6"/>
        <v>0</v>
      </c>
      <c r="AQ43" s="48" cm="1">
        <f t="array" ref="AQ43">MIN(INDEX(Use,AQ$10,5) + MAX(0, (1-INDEX(Use,AQ$10,5))*($AK43-5)/(35-5)), 1)</f>
        <v>0.54</v>
      </c>
      <c r="AR43" s="48" cm="1">
        <f t="array" ref="AR43">MIN(INDEX(Use,AR$10,5) + MAX(0, (1-INDEX(Use,AR$10,5))*($AK43-5)/(35-5)), 1)</f>
        <v>0.69333333333333336</v>
      </c>
      <c r="AS43" s="48" cm="1">
        <f t="array" ref="AS43">MIN(INDEX(Use,AS$10,5) + MAX(0, (1-INDEX(Use,AS$10,5))*($AK43-5)/(35-5)), 1)</f>
        <v>0.84666666666666668</v>
      </c>
      <c r="AT43" s="48" cm="1">
        <f t="array" ref="AT43">MIN(INDEX(Use,AT$10,5) + MAX(0, (1-INDEX(Use,AT$10,5))*($AK43-5)/(35-5)), 1)</f>
        <v>0.84666666666666668</v>
      </c>
      <c r="AU43" s="48" cm="1">
        <f t="array" ref="AU43">MIN(INDEX(Use,AU$10,5) + MAX(0, (1-INDEX(Use,AU$10,5))*($AK43-5)/(35-5)), 1)</f>
        <v>0.84666666666666668</v>
      </c>
      <c r="AV43" s="48">
        <v>1</v>
      </c>
      <c r="AW43" s="48">
        <v>0.3</v>
      </c>
      <c r="AX43" s="15"/>
      <c r="AY43" s="41" cm="1">
        <f t="array" ref="AY43">INDEX(Use, $AD43, 4)</f>
        <v>7</v>
      </c>
      <c r="AZ43" s="41">
        <f t="shared" si="9"/>
        <v>32</v>
      </c>
      <c r="BA43" s="41">
        <f t="shared" si="10"/>
        <v>13</v>
      </c>
      <c r="BB43" s="41">
        <f t="shared" si="11"/>
        <v>0</v>
      </c>
      <c r="BC43" s="57" cm="1">
        <f t="array" ref="BC43">K43/IF($L43&gt;0, INDEX($AO$12:$AU$66, $L43+20, $AD43), 1)</f>
        <v>0</v>
      </c>
      <c r="BD43" s="46">
        <f t="shared" si="12"/>
        <v>0</v>
      </c>
      <c r="BE43" s="41">
        <v>35</v>
      </c>
      <c r="BF43" s="46">
        <f t="shared" si="13"/>
        <v>52.55</v>
      </c>
      <c r="BG43" s="49">
        <f t="shared" si="14"/>
        <v>2.7676728869374316</v>
      </c>
      <c r="BH43" s="49" cm="1">
        <f t="array" ref="BH43">$BC43 * SUMPRODUCT(INDEX($AL$66:$AN$71,,$AE43),INDEX($AO$66:$AU$71,,$AD43), N($AK$66:$AK$71&gt;$AI43)) / BG43 / 1000</f>
        <v>0</v>
      </c>
      <c r="BI43" s="50">
        <f t="shared" si="15"/>
        <v>30</v>
      </c>
      <c r="BJ43" s="46">
        <f t="shared" si="16"/>
        <v>46.033333333333331</v>
      </c>
      <c r="BK43" s="49">
        <f t="shared" si="17"/>
        <v>3.2297395388556791</v>
      </c>
      <c r="BL43" s="49" cm="1">
        <f t="array" ref="BL43">$BC43 * IF($AD43&lt;=2,
SUMPRODUCT(INDEX($AL$61:$AN$65,,$AE43), INDEX($AO$61:$AU$65,,$AD43), 1 / ($AV$61:$AV$65*BK43 + (1-$AV$61:$AV$65)*BG43), N($AK$61:$AK$65&gt;$AI43)),
SUMPRODUCT(INDEX($AL$56:$AN$65,,$AE43), INDEX($AO$56:$AU$65,,$AD43), 1 / ($AW$56:$AW$65*BK43 + (1-$AW$56:$AW$65)*BG43), N($AK$56:$AK$65&gt;$AI43))
) / 1000</f>
        <v>0</v>
      </c>
      <c r="BM43" s="50">
        <f t="shared" si="18"/>
        <v>25</v>
      </c>
      <c r="BN43" s="46">
        <f t="shared" si="19"/>
        <v>39.516666666666666</v>
      </c>
      <c r="BO43" s="49">
        <f t="shared" si="20"/>
        <v>3.877011788826243</v>
      </c>
      <c r="BP43" s="49" cm="1">
        <f t="array" ref="BP43">$BC43 * IF($AD43&lt;=2,
SUMPRODUCT(INDEX($AL$56:$AN$60,,$AE43), INDEX($AO$56:$AU$60,,$AD43), 1 / ($AV$56:$AV$60*BO43 + (1-$AV$56:$AV$60)*BK43), N($AK$56:$AK$60&gt;$AI43)),
SUMPRODUCT(INDEX($AL$46:$AN$55,,$AE43), INDEX($AO$46:$AU$55,,$AD43), 1 / ($AW$46:$AW$55*BO43 + (1-$AW$46:$AW$55)*BK43), N($AK$46:$AK$55&gt;$AI43))
) / 1000</f>
        <v>0</v>
      </c>
      <c r="BQ43" s="50">
        <f t="shared" si="21"/>
        <v>20</v>
      </c>
      <c r="BR43" s="46">
        <f t="shared" si="22"/>
        <v>33</v>
      </c>
      <c r="BS43" s="49">
        <f t="shared" si="23"/>
        <v>4.8487499999999999</v>
      </c>
      <c r="BT43" s="49" cm="1">
        <f t="array" ref="BT43">$BC43 * IF($AD43&lt;=2,
SUMPRODUCT(INDEX($AL$51:$AN$55,,$AE43), INDEX($AO$51:$AU$55,,$AD43), 1 / ($AV$51:$AV$55*BS43 + (1-$AV$51:$AV$55)*BO43), N($AK$51:$AK$55&gt;$AI43)),
SUMPRODUCT(INDEX($AL$36:$AN$45,,$AE43), INDEX($AO$36:$AU$45,,$AD43), 1 / ($AW$36:$AW$45*BS43 + (1-$AW$36:$AW$45)*BO43), N($AK$36:$AK$45&gt;$AI43))
) / 1000</f>
        <v>0</v>
      </c>
      <c r="BU43" s="49" cm="1">
        <f t="array" ref="BU43">$BC43 * IF($AD43&lt;=2,
SUMPRODUCT(INDEX($AL$12:$AN$50,,$AE43), INDEX($AO$12:$AU$50,,$AD43), 1 / ($AV$12:$AV$50*BS43), N($AK$12:$AK$50&gt;$AI43)),
SUMPRODUCT(INDEX($AL$12:$AN$35,,$AE43), INDEX($AO$12:$AU$35,,$AD43), 1 / ($AW$12:$AW$35*BS43), N($AK$12:$AK$35&gt;$AI43))
) / 1000</f>
        <v>0</v>
      </c>
      <c r="BV43" s="46">
        <f t="shared" si="24"/>
        <v>0</v>
      </c>
      <c r="BW43" s="20"/>
      <c r="BX43" s="46">
        <f t="shared" si="25"/>
        <v>0</v>
      </c>
      <c r="BY43" s="41">
        <v>35</v>
      </c>
      <c r="BZ43" s="46">
        <f t="shared" si="26"/>
        <v>48</v>
      </c>
      <c r="CA43" s="49">
        <f t="shared" si="27"/>
        <v>3.0748170731707316</v>
      </c>
      <c r="CB43" s="49" cm="1">
        <f t="array" ref="CB43">$BC43 * SUMPRODUCT(INDEX($AL$66:$AN$71,,$AE43),INDEX($AO$66:$AU$71,,$AD43), N($AK$66:$AK$71&gt;$AI43)) / CA43 / 1000</f>
        <v>0</v>
      </c>
      <c r="CC43" s="50">
        <f t="shared" si="28"/>
        <v>30</v>
      </c>
      <c r="CD43" s="46">
        <f t="shared" si="29"/>
        <v>43</v>
      </c>
      <c r="CE43" s="49">
        <f t="shared" si="30"/>
        <v>3.5018750000000001</v>
      </c>
      <c r="CF43" s="49" cm="1">
        <f t="array" ref="CF43">$BC43 * IF($AD43&lt;=2,
SUMPRODUCT(INDEX($AL$61:$AN$65,,$AE43), INDEX($AO$61:$AU$65,,$AD43), 1 / ($AV$61:$AV$65*CE43 + (1-$AV$61:$AV$65)*CA43), N($AK$61:$AK$65&gt;$AI43)),
SUMPRODUCT(INDEX($AL$56:$AN$65,,$AE43), INDEX($AO$56:$AU$65,,$AD43), 1 / ($AW$56:$AW$65*CE43 + (1-$AW$56:$AW$65)*CA43), N($AK$56:$AK$65&gt;$AI43))
) / 1000</f>
        <v>0</v>
      </c>
      <c r="CG43" s="50">
        <f t="shared" si="31"/>
        <v>25</v>
      </c>
      <c r="CH43" s="46">
        <f t="shared" si="32"/>
        <v>38</v>
      </c>
      <c r="CI43" s="49">
        <f t="shared" si="33"/>
        <v>4.0666935483870965</v>
      </c>
      <c r="CJ43" s="49" cm="1">
        <f t="array" ref="CJ43">$BC43 * IF($AD43&lt;=2,
SUMPRODUCT(INDEX($AL$56:$AN$60,,$AE43), INDEX($AO$56:$AU$60,,$AD43), 1 / ($AV$56:$AV$60*CI43 + (1-$AV$56:$AV$60)*CE43), N($AK$56:$AK$60&gt;$AI43)),
SUMPRODUCT(INDEX($AL$46:$AN$55,,$AE43), INDEX($AO$46:$AU$55,,$AD43), 1 / ($AW$46:$AW$55*CI43 + (1-$AW$46:$AW$55)*CE43), N($AK$46:$AK$55&gt;$AI43))
) / 1000</f>
        <v>0</v>
      </c>
      <c r="CK43" s="50">
        <f t="shared" si="34"/>
        <v>20</v>
      </c>
      <c r="CL43" s="46">
        <f t="shared" si="35"/>
        <v>33</v>
      </c>
      <c r="CM43" s="49">
        <f t="shared" si="36"/>
        <v>4.8487499999999999</v>
      </c>
      <c r="CN43" s="49" cm="1">
        <f t="array" ref="CN43">$BC43 * IF($AD43&lt;=2,
SUMPRODUCT(INDEX($AL$51:$AN$55,,$AE43), INDEX($AO$51:$AU$55,,$AD43), 1 / ($AV$51:$AV$55*CM43 + (1-$AV$51:$AV$55)*CI43), N($AK$51:$AK$55&gt;$AI43)),
SUMPRODUCT(INDEX($AL$36:$AN$45,,$AE43), INDEX($AO$36:$AU$45,,$AD43), 1 / ($AW$36:$AW$45*CM43 + (1-$AW$36:$AW$45)*CI43), N($AK$36:$AK$45&gt;$AI43))
) / 1000</f>
        <v>0</v>
      </c>
      <c r="CO43" s="49" cm="1">
        <f t="array" ref="CO43">$BC43 * IF($AD43&lt;=2,
SUMPRODUCT(INDEX($AL$12:$AN$50,,$AE43), INDEX($AO$12:$AU$50,,$AD43), 1 / ($AV$12:$AV$50*CM43), N($AK$12:$AK$50&gt;$AI43)),
SUMPRODUCT(INDEX($AL$12:$AN$35,,$AE43), INDEX($AO$12:$AU$35,,$AD43), 1 / ($AW$12:$AW$35*CM43), N($AK$12:$AK$35&gt;$AI43))
) / 1000</f>
        <v>0</v>
      </c>
      <c r="CP43" s="46">
        <f t="shared" si="37"/>
        <v>0</v>
      </c>
      <c r="CQ43" s="20"/>
    </row>
    <row r="44" spans="1:95" s="95" customFormat="1" ht="14.25" customHeight="1" x14ac:dyDescent="0.25">
      <c r="A44" s="36" t="b">
        <f t="shared" ref="A44:A75" si="38">IF(OR(AND($K44&gt;80, $AD44=1), AND($K44&gt;40, $AD44=3), AND($K44&gt;30, $AD44=4),), TRUE, FALSE)</f>
        <v>0</v>
      </c>
      <c r="B44" s="94">
        <v>33</v>
      </c>
      <c r="C44" s="7"/>
      <c r="D44" s="7"/>
      <c r="E44" s="33"/>
      <c r="F44" s="8" t="str">
        <f>IF(ISBLANK(E44), "", VLOOKUP(E44, Z!$A$2:$C$4127, 3, FALSE))</f>
        <v/>
      </c>
      <c r="G44" s="44"/>
      <c r="H44" s="44"/>
      <c r="I44" s="107"/>
      <c r="J44" s="108"/>
      <c r="K44" s="34"/>
      <c r="L44" s="59"/>
      <c r="M44" s="58" t="str" cm="1">
        <f t="array" ref="M44">IF($K44&gt;0, INDEX(Clean,1+AG44,$B$1), "")</f>
        <v/>
      </c>
      <c r="N44" s="62"/>
      <c r="O44" s="62"/>
      <c r="P44" s="63"/>
      <c r="Q44" s="52">
        <f t="shared" si="7"/>
        <v>0</v>
      </c>
      <c r="R44" s="58" t="str" cm="1">
        <f t="array" ref="R44">IF($K44&gt;0, INDEX(Clean,1+AH44,$B$1), "")</f>
        <v/>
      </c>
      <c r="S44" s="62"/>
      <c r="T44" s="62"/>
      <c r="U44" s="63"/>
      <c r="V44" s="52">
        <f t="shared" si="8"/>
        <v>0</v>
      </c>
      <c r="W44" s="6"/>
      <c r="X44" s="7"/>
      <c r="Y44" s="33"/>
      <c r="Z44" s="8" t="str">
        <f>IF(ISBLANK(Y44), "", VLOOKUP(Y44, Z!$A$2:$C$4127, 3, FALSE))</f>
        <v/>
      </c>
      <c r="AA44" s="38"/>
      <c r="AB44" s="9">
        <f t="shared" ref="AB44:AB75" si="39">0.75*AB$1*(Q44-V44)</f>
        <v>0</v>
      </c>
      <c r="AC44" s="20"/>
      <c r="AD44" s="41">
        <f t="shared" ref="AD44:AD75" si="40">IF(ISBLANK(H44), 1, IFERROR(MATCH(H44, INDEX(Use,,1), 0), IFERROR(MATCH(H44, INDEX(Use,,2), 0), MATCH(H44, INDEX(Use,,3), 0))))</f>
        <v>1</v>
      </c>
      <c r="AE44" s="41">
        <f t="shared" ref="AE44:AE75" si="41">IF(ISBLANK(G44), 1, IFERROR(MATCH(G44, INDEX(Loc,,1), 0), IFERROR(MATCH(G44, INDEX(Loc,,2), 0), MATCH(G44, INDEX(Loc,,3), 0))))</f>
        <v>1</v>
      </c>
      <c r="AF44" s="41">
        <f t="shared" ref="AF44:AF75" si="42">_xlfn.IFNA(IF(IFERROR(MATCH(I44, INDEX(Medium,,1), 0), IFERROR(MATCH(I44, INDEX(Medium,,2), 0), MATCH(I44, INDEX(Medium,,3), 0))) = 2, 1, 0), 0)</f>
        <v>0</v>
      </c>
      <c r="AG44" s="41">
        <v>1</v>
      </c>
      <c r="AH44" s="41">
        <v>0</v>
      </c>
      <c r="AI44" s="41">
        <f t="shared" ref="AI44:AI75" si="43">IF(AND(J44="x", AD44=5), 11, IF(AND(J44="x", AD44=6), 19, -100))</f>
        <v>-100</v>
      </c>
      <c r="AJ44" s="20"/>
      <c r="AK44" s="41">
        <v>13</v>
      </c>
      <c r="AL44" s="50">
        <v>350</v>
      </c>
      <c r="AM44" s="50">
        <v>426</v>
      </c>
      <c r="AN44" s="50">
        <v>350</v>
      </c>
      <c r="AO44" s="48">
        <f t="shared" si="6"/>
        <v>0</v>
      </c>
      <c r="AP44" s="48">
        <f t="shared" si="6"/>
        <v>0</v>
      </c>
      <c r="AQ44" s="48" cm="1">
        <f t="array" ref="AQ44">MIN(INDEX(Use,AQ$10,5) + MAX(0, (1-INDEX(Use,AQ$10,5))*($AK44-5)/(35-5)), 1)</f>
        <v>0.56000000000000005</v>
      </c>
      <c r="AR44" s="48" cm="1">
        <f t="array" ref="AR44">MIN(INDEX(Use,AR$10,5) + MAX(0, (1-INDEX(Use,AR$10,5))*($AK44-5)/(35-5)), 1)</f>
        <v>0.70666666666666667</v>
      </c>
      <c r="AS44" s="48" cm="1">
        <f t="array" ref="AS44">MIN(INDEX(Use,AS$10,5) + MAX(0, (1-INDEX(Use,AS$10,5))*($AK44-5)/(35-5)), 1)</f>
        <v>0.85333333333333339</v>
      </c>
      <c r="AT44" s="48" cm="1">
        <f t="array" ref="AT44">MIN(INDEX(Use,AT$10,5) + MAX(0, (1-INDEX(Use,AT$10,5))*($AK44-5)/(35-5)), 1)</f>
        <v>0.85333333333333339</v>
      </c>
      <c r="AU44" s="48" cm="1">
        <f t="array" ref="AU44">MIN(INDEX(Use,AU$10,5) + MAX(0, (1-INDEX(Use,AU$10,5))*($AK44-5)/(35-5)), 1)</f>
        <v>0.85333333333333339</v>
      </c>
      <c r="AV44" s="48">
        <v>1</v>
      </c>
      <c r="AW44" s="48">
        <v>0.2</v>
      </c>
      <c r="AX44" s="15"/>
      <c r="AY44" s="41" cm="1">
        <f t="array" ref="AY44">INDEX(Use, $AD44, 4)</f>
        <v>7</v>
      </c>
      <c r="AZ44" s="41">
        <f t="shared" si="9"/>
        <v>32</v>
      </c>
      <c r="BA44" s="41">
        <f t="shared" si="10"/>
        <v>13</v>
      </c>
      <c r="BB44" s="41">
        <f t="shared" si="11"/>
        <v>0</v>
      </c>
      <c r="BC44" s="57" cm="1">
        <f t="array" ref="BC44">K44/IF($L44&gt;0, INDEX($AO$12:$AU$66, $L44+20, $AD44), 1)</f>
        <v>0</v>
      </c>
      <c r="BD44" s="46">
        <f t="shared" si="12"/>
        <v>0</v>
      </c>
      <c r="BE44" s="41">
        <v>35</v>
      </c>
      <c r="BF44" s="46">
        <f t="shared" si="13"/>
        <v>52.55</v>
      </c>
      <c r="BG44" s="49">
        <f t="shared" si="14"/>
        <v>2.7676728869374316</v>
      </c>
      <c r="BH44" s="49" cm="1">
        <f t="array" ref="BH44">$BC44 * SUMPRODUCT(INDEX($AL$66:$AN$71,,$AE44),INDEX($AO$66:$AU$71,,$AD44), N($AK$66:$AK$71&gt;$AI44)) / BG44 / 1000</f>
        <v>0</v>
      </c>
      <c r="BI44" s="50">
        <f t="shared" si="15"/>
        <v>30</v>
      </c>
      <c r="BJ44" s="46">
        <f t="shared" si="16"/>
        <v>46.033333333333331</v>
      </c>
      <c r="BK44" s="49">
        <f t="shared" si="17"/>
        <v>3.2297395388556791</v>
      </c>
      <c r="BL44" s="49" cm="1">
        <f t="array" ref="BL44">$BC44 * IF($AD44&lt;=2,
SUMPRODUCT(INDEX($AL$61:$AN$65,,$AE44), INDEX($AO$61:$AU$65,,$AD44), 1 / ($AV$61:$AV$65*BK44 + (1-$AV$61:$AV$65)*BG44), N($AK$61:$AK$65&gt;$AI44)),
SUMPRODUCT(INDEX($AL$56:$AN$65,,$AE44), INDEX($AO$56:$AU$65,,$AD44), 1 / ($AW$56:$AW$65*BK44 + (1-$AW$56:$AW$65)*BG44), N($AK$56:$AK$65&gt;$AI44))
) / 1000</f>
        <v>0</v>
      </c>
      <c r="BM44" s="50">
        <f t="shared" si="18"/>
        <v>25</v>
      </c>
      <c r="BN44" s="46">
        <f t="shared" si="19"/>
        <v>39.516666666666666</v>
      </c>
      <c r="BO44" s="49">
        <f t="shared" si="20"/>
        <v>3.877011788826243</v>
      </c>
      <c r="BP44" s="49" cm="1">
        <f t="array" ref="BP44">$BC44 * IF($AD44&lt;=2,
SUMPRODUCT(INDEX($AL$56:$AN$60,,$AE44), INDEX($AO$56:$AU$60,,$AD44), 1 / ($AV$56:$AV$60*BO44 + (1-$AV$56:$AV$60)*BK44), N($AK$56:$AK$60&gt;$AI44)),
SUMPRODUCT(INDEX($AL$46:$AN$55,,$AE44), INDEX($AO$46:$AU$55,,$AD44), 1 / ($AW$46:$AW$55*BO44 + (1-$AW$46:$AW$55)*BK44), N($AK$46:$AK$55&gt;$AI44))
) / 1000</f>
        <v>0</v>
      </c>
      <c r="BQ44" s="50">
        <f t="shared" si="21"/>
        <v>20</v>
      </c>
      <c r="BR44" s="46">
        <f t="shared" si="22"/>
        <v>33</v>
      </c>
      <c r="BS44" s="49">
        <f t="shared" si="23"/>
        <v>4.8487499999999999</v>
      </c>
      <c r="BT44" s="49" cm="1">
        <f t="array" ref="BT44">$BC44 * IF($AD44&lt;=2,
SUMPRODUCT(INDEX($AL$51:$AN$55,,$AE44), INDEX($AO$51:$AU$55,,$AD44), 1 / ($AV$51:$AV$55*BS44 + (1-$AV$51:$AV$55)*BO44), N($AK$51:$AK$55&gt;$AI44)),
SUMPRODUCT(INDEX($AL$36:$AN$45,,$AE44), INDEX($AO$36:$AU$45,,$AD44), 1 / ($AW$36:$AW$45*BS44 + (1-$AW$36:$AW$45)*BO44), N($AK$36:$AK$45&gt;$AI44))
) / 1000</f>
        <v>0</v>
      </c>
      <c r="BU44" s="49" cm="1">
        <f t="array" ref="BU44">$BC44 * IF($AD44&lt;=2,
SUMPRODUCT(INDEX($AL$12:$AN$50,,$AE44), INDEX($AO$12:$AU$50,,$AD44), 1 / ($AV$12:$AV$50*BS44), N($AK$12:$AK$50&gt;$AI44)),
SUMPRODUCT(INDEX($AL$12:$AN$35,,$AE44), INDEX($AO$12:$AU$35,,$AD44), 1 / ($AW$12:$AW$35*BS44), N($AK$12:$AK$35&gt;$AI44))
) / 1000</f>
        <v>0</v>
      </c>
      <c r="BV44" s="46">
        <f t="shared" si="24"/>
        <v>0</v>
      </c>
      <c r="BW44" s="20"/>
      <c r="BX44" s="46">
        <f t="shared" si="25"/>
        <v>0</v>
      </c>
      <c r="BY44" s="41">
        <v>35</v>
      </c>
      <c r="BZ44" s="46">
        <f t="shared" si="26"/>
        <v>48</v>
      </c>
      <c r="CA44" s="49">
        <f t="shared" si="27"/>
        <v>3.0748170731707316</v>
      </c>
      <c r="CB44" s="49" cm="1">
        <f t="array" ref="CB44">$BC44 * SUMPRODUCT(INDEX($AL$66:$AN$71,,$AE44),INDEX($AO$66:$AU$71,,$AD44), N($AK$66:$AK$71&gt;$AI44)) / CA44 / 1000</f>
        <v>0</v>
      </c>
      <c r="CC44" s="50">
        <f t="shared" si="28"/>
        <v>30</v>
      </c>
      <c r="CD44" s="46">
        <f t="shared" si="29"/>
        <v>43</v>
      </c>
      <c r="CE44" s="49">
        <f t="shared" si="30"/>
        <v>3.5018750000000001</v>
      </c>
      <c r="CF44" s="49" cm="1">
        <f t="array" ref="CF44">$BC44 * IF($AD44&lt;=2,
SUMPRODUCT(INDEX($AL$61:$AN$65,,$AE44), INDEX($AO$61:$AU$65,,$AD44), 1 / ($AV$61:$AV$65*CE44 + (1-$AV$61:$AV$65)*CA44), N($AK$61:$AK$65&gt;$AI44)),
SUMPRODUCT(INDEX($AL$56:$AN$65,,$AE44), INDEX($AO$56:$AU$65,,$AD44), 1 / ($AW$56:$AW$65*CE44 + (1-$AW$56:$AW$65)*CA44), N($AK$56:$AK$65&gt;$AI44))
) / 1000</f>
        <v>0</v>
      </c>
      <c r="CG44" s="50">
        <f t="shared" si="31"/>
        <v>25</v>
      </c>
      <c r="CH44" s="46">
        <f t="shared" si="32"/>
        <v>38</v>
      </c>
      <c r="CI44" s="49">
        <f t="shared" si="33"/>
        <v>4.0666935483870965</v>
      </c>
      <c r="CJ44" s="49" cm="1">
        <f t="array" ref="CJ44">$BC44 * IF($AD44&lt;=2,
SUMPRODUCT(INDEX($AL$56:$AN$60,,$AE44), INDEX($AO$56:$AU$60,,$AD44), 1 / ($AV$56:$AV$60*CI44 + (1-$AV$56:$AV$60)*CE44), N($AK$56:$AK$60&gt;$AI44)),
SUMPRODUCT(INDEX($AL$46:$AN$55,,$AE44), INDEX($AO$46:$AU$55,,$AD44), 1 / ($AW$46:$AW$55*CI44 + (1-$AW$46:$AW$55)*CE44), N($AK$46:$AK$55&gt;$AI44))
) / 1000</f>
        <v>0</v>
      </c>
      <c r="CK44" s="50">
        <f t="shared" si="34"/>
        <v>20</v>
      </c>
      <c r="CL44" s="46">
        <f t="shared" si="35"/>
        <v>33</v>
      </c>
      <c r="CM44" s="49">
        <f t="shared" si="36"/>
        <v>4.8487499999999999</v>
      </c>
      <c r="CN44" s="49" cm="1">
        <f t="array" ref="CN44">$BC44 * IF($AD44&lt;=2,
SUMPRODUCT(INDEX($AL$51:$AN$55,,$AE44), INDEX($AO$51:$AU$55,,$AD44), 1 / ($AV$51:$AV$55*CM44 + (1-$AV$51:$AV$55)*CI44), N($AK$51:$AK$55&gt;$AI44)),
SUMPRODUCT(INDEX($AL$36:$AN$45,,$AE44), INDEX($AO$36:$AU$45,,$AD44), 1 / ($AW$36:$AW$45*CM44 + (1-$AW$36:$AW$45)*CI44), N($AK$36:$AK$45&gt;$AI44))
) / 1000</f>
        <v>0</v>
      </c>
      <c r="CO44" s="49" cm="1">
        <f t="array" ref="CO44">$BC44 * IF($AD44&lt;=2,
SUMPRODUCT(INDEX($AL$12:$AN$50,,$AE44), INDEX($AO$12:$AU$50,,$AD44), 1 / ($AV$12:$AV$50*CM44), N($AK$12:$AK$50&gt;$AI44)),
SUMPRODUCT(INDEX($AL$12:$AN$35,,$AE44), INDEX($AO$12:$AU$35,,$AD44), 1 / ($AW$12:$AW$35*CM44), N($AK$12:$AK$35&gt;$AI44))
) / 1000</f>
        <v>0</v>
      </c>
      <c r="CP44" s="46">
        <f t="shared" si="37"/>
        <v>0</v>
      </c>
      <c r="CQ44" s="20"/>
    </row>
    <row r="45" spans="1:95" s="95" customFormat="1" ht="14.25" customHeight="1" x14ac:dyDescent="0.25">
      <c r="A45" s="36" t="b">
        <f t="shared" si="38"/>
        <v>0</v>
      </c>
      <c r="B45" s="94">
        <v>34</v>
      </c>
      <c r="C45" s="7"/>
      <c r="D45" s="7"/>
      <c r="E45" s="33"/>
      <c r="F45" s="8" t="str">
        <f>IF(ISBLANK(E45), "", VLOOKUP(E45, Z!$A$2:$C$4127, 3, FALSE))</f>
        <v/>
      </c>
      <c r="G45" s="44"/>
      <c r="H45" s="44"/>
      <c r="I45" s="107"/>
      <c r="J45" s="108"/>
      <c r="K45" s="34"/>
      <c r="L45" s="59"/>
      <c r="M45" s="58" t="str" cm="1">
        <f t="array" ref="M45">IF($K45&gt;0, INDEX(Clean,1+AG45,$B$1), "")</f>
        <v/>
      </c>
      <c r="N45" s="62"/>
      <c r="O45" s="62"/>
      <c r="P45" s="63"/>
      <c r="Q45" s="52">
        <f t="shared" si="7"/>
        <v>0</v>
      </c>
      <c r="R45" s="58" t="str" cm="1">
        <f t="array" ref="R45">IF($K45&gt;0, INDEX(Clean,1+AH45,$B$1), "")</f>
        <v/>
      </c>
      <c r="S45" s="62"/>
      <c r="T45" s="62"/>
      <c r="U45" s="63"/>
      <c r="V45" s="52">
        <f t="shared" si="8"/>
        <v>0</v>
      </c>
      <c r="W45" s="6"/>
      <c r="X45" s="7"/>
      <c r="Y45" s="33"/>
      <c r="Z45" s="8" t="str">
        <f>IF(ISBLANK(Y45), "", VLOOKUP(Y45, Z!$A$2:$C$4127, 3, FALSE))</f>
        <v/>
      </c>
      <c r="AA45" s="38"/>
      <c r="AB45" s="9">
        <f t="shared" si="39"/>
        <v>0</v>
      </c>
      <c r="AC45" s="20"/>
      <c r="AD45" s="41">
        <f t="shared" si="40"/>
        <v>1</v>
      </c>
      <c r="AE45" s="41">
        <f t="shared" si="41"/>
        <v>1</v>
      </c>
      <c r="AF45" s="41">
        <f t="shared" si="42"/>
        <v>0</v>
      </c>
      <c r="AG45" s="41">
        <v>1</v>
      </c>
      <c r="AH45" s="41">
        <v>0</v>
      </c>
      <c r="AI45" s="41">
        <f t="shared" si="43"/>
        <v>-100</v>
      </c>
      <c r="AJ45" s="20"/>
      <c r="AK45" s="41">
        <v>14</v>
      </c>
      <c r="AL45" s="50">
        <v>385</v>
      </c>
      <c r="AM45" s="50">
        <v>344</v>
      </c>
      <c r="AN45" s="50">
        <v>378</v>
      </c>
      <c r="AO45" s="48">
        <f t="shared" si="6"/>
        <v>0</v>
      </c>
      <c r="AP45" s="48">
        <f t="shared" si="6"/>
        <v>0</v>
      </c>
      <c r="AQ45" s="48" cm="1">
        <f t="array" ref="AQ45">MIN(INDEX(Use,AQ$10,5) + MAX(0, (1-INDEX(Use,AQ$10,5))*($AK45-5)/(35-5)), 1)</f>
        <v>0.58000000000000007</v>
      </c>
      <c r="AR45" s="48" cm="1">
        <f t="array" ref="AR45">MIN(INDEX(Use,AR$10,5) + MAX(0, (1-INDEX(Use,AR$10,5))*($AK45-5)/(35-5)), 1)</f>
        <v>0.72</v>
      </c>
      <c r="AS45" s="48" cm="1">
        <f t="array" ref="AS45">MIN(INDEX(Use,AS$10,5) + MAX(0, (1-INDEX(Use,AS$10,5))*($AK45-5)/(35-5)), 1)</f>
        <v>0.86</v>
      </c>
      <c r="AT45" s="48" cm="1">
        <f t="array" ref="AT45">MIN(INDEX(Use,AT$10,5) + MAX(0, (1-INDEX(Use,AT$10,5))*($AK45-5)/(35-5)), 1)</f>
        <v>0.86</v>
      </c>
      <c r="AU45" s="48" cm="1">
        <f t="array" ref="AU45">MIN(INDEX(Use,AU$10,5) + MAX(0, (1-INDEX(Use,AU$10,5))*($AK45-5)/(35-5)), 1)</f>
        <v>0.86</v>
      </c>
      <c r="AV45" s="48">
        <v>1</v>
      </c>
      <c r="AW45" s="48">
        <v>0.1</v>
      </c>
      <c r="AX45" s="15"/>
      <c r="AY45" s="41" cm="1">
        <f t="array" ref="AY45">INDEX(Use, $AD45, 4)</f>
        <v>7</v>
      </c>
      <c r="AZ45" s="41">
        <f t="shared" si="9"/>
        <v>32</v>
      </c>
      <c r="BA45" s="41">
        <f t="shared" si="10"/>
        <v>13</v>
      </c>
      <c r="BB45" s="41">
        <f t="shared" si="11"/>
        <v>0</v>
      </c>
      <c r="BC45" s="57" cm="1">
        <f t="array" ref="BC45">K45/IF($L45&gt;0, INDEX($AO$12:$AU$66, $L45+20, $AD45), 1)</f>
        <v>0</v>
      </c>
      <c r="BD45" s="46">
        <f t="shared" si="12"/>
        <v>0</v>
      </c>
      <c r="BE45" s="41">
        <v>35</v>
      </c>
      <c r="BF45" s="46">
        <f t="shared" si="13"/>
        <v>52.55</v>
      </c>
      <c r="BG45" s="49">
        <f t="shared" si="14"/>
        <v>2.7676728869374316</v>
      </c>
      <c r="BH45" s="49" cm="1">
        <f t="array" ref="BH45">$BC45 * SUMPRODUCT(INDEX($AL$66:$AN$71,,$AE45),INDEX($AO$66:$AU$71,,$AD45), N($AK$66:$AK$71&gt;$AI45)) / BG45 / 1000</f>
        <v>0</v>
      </c>
      <c r="BI45" s="50">
        <f t="shared" si="15"/>
        <v>30</v>
      </c>
      <c r="BJ45" s="46">
        <f t="shared" si="16"/>
        <v>46.033333333333331</v>
      </c>
      <c r="BK45" s="49">
        <f t="shared" si="17"/>
        <v>3.2297395388556791</v>
      </c>
      <c r="BL45" s="49" cm="1">
        <f t="array" ref="BL45">$BC45 * IF($AD45&lt;=2,
SUMPRODUCT(INDEX($AL$61:$AN$65,,$AE45), INDEX($AO$61:$AU$65,,$AD45), 1 / ($AV$61:$AV$65*BK45 + (1-$AV$61:$AV$65)*BG45), N($AK$61:$AK$65&gt;$AI45)),
SUMPRODUCT(INDEX($AL$56:$AN$65,,$AE45), INDEX($AO$56:$AU$65,,$AD45), 1 / ($AW$56:$AW$65*BK45 + (1-$AW$56:$AW$65)*BG45), N($AK$56:$AK$65&gt;$AI45))
) / 1000</f>
        <v>0</v>
      </c>
      <c r="BM45" s="50">
        <f t="shared" si="18"/>
        <v>25</v>
      </c>
      <c r="BN45" s="46">
        <f t="shared" si="19"/>
        <v>39.516666666666666</v>
      </c>
      <c r="BO45" s="49">
        <f t="shared" si="20"/>
        <v>3.877011788826243</v>
      </c>
      <c r="BP45" s="49" cm="1">
        <f t="array" ref="BP45">$BC45 * IF($AD45&lt;=2,
SUMPRODUCT(INDEX($AL$56:$AN$60,,$AE45), INDEX($AO$56:$AU$60,,$AD45), 1 / ($AV$56:$AV$60*BO45 + (1-$AV$56:$AV$60)*BK45), N($AK$56:$AK$60&gt;$AI45)),
SUMPRODUCT(INDEX($AL$46:$AN$55,,$AE45), INDEX($AO$46:$AU$55,,$AD45), 1 / ($AW$46:$AW$55*BO45 + (1-$AW$46:$AW$55)*BK45), N($AK$46:$AK$55&gt;$AI45))
) / 1000</f>
        <v>0</v>
      </c>
      <c r="BQ45" s="50">
        <f t="shared" si="21"/>
        <v>20</v>
      </c>
      <c r="BR45" s="46">
        <f t="shared" si="22"/>
        <v>33</v>
      </c>
      <c r="BS45" s="49">
        <f t="shared" si="23"/>
        <v>4.8487499999999999</v>
      </c>
      <c r="BT45" s="49" cm="1">
        <f t="array" ref="BT45">$BC45 * IF($AD45&lt;=2,
SUMPRODUCT(INDEX($AL$51:$AN$55,,$AE45), INDEX($AO$51:$AU$55,,$AD45), 1 / ($AV$51:$AV$55*BS45 + (1-$AV$51:$AV$55)*BO45), N($AK$51:$AK$55&gt;$AI45)),
SUMPRODUCT(INDEX($AL$36:$AN$45,,$AE45), INDEX($AO$36:$AU$45,,$AD45), 1 / ($AW$36:$AW$45*BS45 + (1-$AW$36:$AW$45)*BO45), N($AK$36:$AK$45&gt;$AI45))
) / 1000</f>
        <v>0</v>
      </c>
      <c r="BU45" s="49" cm="1">
        <f t="array" ref="BU45">$BC45 * IF($AD45&lt;=2,
SUMPRODUCT(INDEX($AL$12:$AN$50,,$AE45), INDEX($AO$12:$AU$50,,$AD45), 1 / ($AV$12:$AV$50*BS45), N($AK$12:$AK$50&gt;$AI45)),
SUMPRODUCT(INDEX($AL$12:$AN$35,,$AE45), INDEX($AO$12:$AU$35,,$AD45), 1 / ($AW$12:$AW$35*BS45), N($AK$12:$AK$35&gt;$AI45))
) / 1000</f>
        <v>0</v>
      </c>
      <c r="BV45" s="46">
        <f t="shared" si="24"/>
        <v>0</v>
      </c>
      <c r="BW45" s="20"/>
      <c r="BX45" s="46">
        <f t="shared" si="25"/>
        <v>0</v>
      </c>
      <c r="BY45" s="41">
        <v>35</v>
      </c>
      <c r="BZ45" s="46">
        <f t="shared" si="26"/>
        <v>48</v>
      </c>
      <c r="CA45" s="49">
        <f t="shared" si="27"/>
        <v>3.0748170731707316</v>
      </c>
      <c r="CB45" s="49" cm="1">
        <f t="array" ref="CB45">$BC45 * SUMPRODUCT(INDEX($AL$66:$AN$71,,$AE45),INDEX($AO$66:$AU$71,,$AD45), N($AK$66:$AK$71&gt;$AI45)) / CA45 / 1000</f>
        <v>0</v>
      </c>
      <c r="CC45" s="50">
        <f t="shared" si="28"/>
        <v>30</v>
      </c>
      <c r="CD45" s="46">
        <f t="shared" si="29"/>
        <v>43</v>
      </c>
      <c r="CE45" s="49">
        <f t="shared" si="30"/>
        <v>3.5018750000000001</v>
      </c>
      <c r="CF45" s="49" cm="1">
        <f t="array" ref="CF45">$BC45 * IF($AD45&lt;=2,
SUMPRODUCT(INDEX($AL$61:$AN$65,,$AE45), INDEX($AO$61:$AU$65,,$AD45), 1 / ($AV$61:$AV$65*CE45 + (1-$AV$61:$AV$65)*CA45), N($AK$61:$AK$65&gt;$AI45)),
SUMPRODUCT(INDEX($AL$56:$AN$65,,$AE45), INDEX($AO$56:$AU$65,,$AD45), 1 / ($AW$56:$AW$65*CE45 + (1-$AW$56:$AW$65)*CA45), N($AK$56:$AK$65&gt;$AI45))
) / 1000</f>
        <v>0</v>
      </c>
      <c r="CG45" s="50">
        <f t="shared" si="31"/>
        <v>25</v>
      </c>
      <c r="CH45" s="46">
        <f t="shared" si="32"/>
        <v>38</v>
      </c>
      <c r="CI45" s="49">
        <f t="shared" si="33"/>
        <v>4.0666935483870965</v>
      </c>
      <c r="CJ45" s="49" cm="1">
        <f t="array" ref="CJ45">$BC45 * IF($AD45&lt;=2,
SUMPRODUCT(INDEX($AL$56:$AN$60,,$AE45), INDEX($AO$56:$AU$60,,$AD45), 1 / ($AV$56:$AV$60*CI45 + (1-$AV$56:$AV$60)*CE45), N($AK$56:$AK$60&gt;$AI45)),
SUMPRODUCT(INDEX($AL$46:$AN$55,,$AE45), INDEX($AO$46:$AU$55,,$AD45), 1 / ($AW$46:$AW$55*CI45 + (1-$AW$46:$AW$55)*CE45), N($AK$46:$AK$55&gt;$AI45))
) / 1000</f>
        <v>0</v>
      </c>
      <c r="CK45" s="50">
        <f t="shared" si="34"/>
        <v>20</v>
      </c>
      <c r="CL45" s="46">
        <f t="shared" si="35"/>
        <v>33</v>
      </c>
      <c r="CM45" s="49">
        <f t="shared" si="36"/>
        <v>4.8487499999999999</v>
      </c>
      <c r="CN45" s="49" cm="1">
        <f t="array" ref="CN45">$BC45 * IF($AD45&lt;=2,
SUMPRODUCT(INDEX($AL$51:$AN$55,,$AE45), INDEX($AO$51:$AU$55,,$AD45), 1 / ($AV$51:$AV$55*CM45 + (1-$AV$51:$AV$55)*CI45), N($AK$51:$AK$55&gt;$AI45)),
SUMPRODUCT(INDEX($AL$36:$AN$45,,$AE45), INDEX($AO$36:$AU$45,,$AD45), 1 / ($AW$36:$AW$45*CM45 + (1-$AW$36:$AW$45)*CI45), N($AK$36:$AK$45&gt;$AI45))
) / 1000</f>
        <v>0</v>
      </c>
      <c r="CO45" s="49" cm="1">
        <f t="array" ref="CO45">$BC45 * IF($AD45&lt;=2,
SUMPRODUCT(INDEX($AL$12:$AN$50,,$AE45), INDEX($AO$12:$AU$50,,$AD45), 1 / ($AV$12:$AV$50*CM45), N($AK$12:$AK$50&gt;$AI45)),
SUMPRODUCT(INDEX($AL$12:$AN$35,,$AE45), INDEX($AO$12:$AU$35,,$AD45), 1 / ($AW$12:$AW$35*CM45), N($AK$12:$AK$35&gt;$AI45))
) / 1000</f>
        <v>0</v>
      </c>
      <c r="CP45" s="46">
        <f t="shared" si="37"/>
        <v>0</v>
      </c>
      <c r="CQ45" s="20"/>
    </row>
    <row r="46" spans="1:95" s="95" customFormat="1" ht="14.25" customHeight="1" x14ac:dyDescent="0.25">
      <c r="A46" s="36" t="b">
        <f t="shared" si="38"/>
        <v>0</v>
      </c>
      <c r="B46" s="94">
        <v>35</v>
      </c>
      <c r="C46" s="7"/>
      <c r="D46" s="7"/>
      <c r="E46" s="33"/>
      <c r="F46" s="8" t="str">
        <f>IF(ISBLANK(E46), "", VLOOKUP(E46, Z!$A$2:$C$4127, 3, FALSE))</f>
        <v/>
      </c>
      <c r="G46" s="44"/>
      <c r="H46" s="44"/>
      <c r="I46" s="107"/>
      <c r="J46" s="108"/>
      <c r="K46" s="34"/>
      <c r="L46" s="59"/>
      <c r="M46" s="58" t="str" cm="1">
        <f t="array" ref="M46">IF($K46&gt;0, INDEX(Clean,1+AG46,$B$1), "")</f>
        <v/>
      </c>
      <c r="N46" s="62"/>
      <c r="O46" s="62"/>
      <c r="P46" s="63"/>
      <c r="Q46" s="52">
        <f t="shared" si="7"/>
        <v>0</v>
      </c>
      <c r="R46" s="58" t="str" cm="1">
        <f t="array" ref="R46">IF($K46&gt;0, INDEX(Clean,1+AH46,$B$1), "")</f>
        <v/>
      </c>
      <c r="S46" s="62"/>
      <c r="T46" s="62"/>
      <c r="U46" s="63"/>
      <c r="V46" s="52">
        <f t="shared" si="8"/>
        <v>0</v>
      </c>
      <c r="W46" s="6"/>
      <c r="X46" s="7"/>
      <c r="Y46" s="33"/>
      <c r="Z46" s="8" t="str">
        <f>IF(ISBLANK(Y46), "", VLOOKUP(Y46, Z!$A$2:$C$4127, 3, FALSE))</f>
        <v/>
      </c>
      <c r="AA46" s="38"/>
      <c r="AB46" s="9">
        <f t="shared" si="39"/>
        <v>0</v>
      </c>
      <c r="AC46" s="20"/>
      <c r="AD46" s="41">
        <f t="shared" si="40"/>
        <v>1</v>
      </c>
      <c r="AE46" s="41">
        <f t="shared" si="41"/>
        <v>1</v>
      </c>
      <c r="AF46" s="41">
        <f t="shared" si="42"/>
        <v>0</v>
      </c>
      <c r="AG46" s="41">
        <v>1</v>
      </c>
      <c r="AH46" s="41">
        <v>0</v>
      </c>
      <c r="AI46" s="41">
        <f t="shared" si="43"/>
        <v>-100</v>
      </c>
      <c r="AJ46" s="20"/>
      <c r="AK46" s="41">
        <v>15</v>
      </c>
      <c r="AL46" s="50">
        <v>404</v>
      </c>
      <c r="AM46" s="50">
        <v>375</v>
      </c>
      <c r="AN46" s="50">
        <v>330</v>
      </c>
      <c r="AO46" s="48">
        <f t="shared" si="6"/>
        <v>0</v>
      </c>
      <c r="AP46" s="48">
        <f t="shared" si="6"/>
        <v>0</v>
      </c>
      <c r="AQ46" s="48" cm="1">
        <f t="array" ref="AQ46">MIN(INDEX(Use,AQ$10,5) + MAX(0, (1-INDEX(Use,AQ$10,5))*($AK46-5)/(35-5)), 1)</f>
        <v>0.60000000000000009</v>
      </c>
      <c r="AR46" s="48" cm="1">
        <f t="array" ref="AR46">MIN(INDEX(Use,AR$10,5) + MAX(0, (1-INDEX(Use,AR$10,5))*($AK46-5)/(35-5)), 1)</f>
        <v>0.73333333333333328</v>
      </c>
      <c r="AS46" s="48" cm="1">
        <f t="array" ref="AS46">MIN(INDEX(Use,AS$10,5) + MAX(0, (1-INDEX(Use,AS$10,5))*($AK46-5)/(35-5)), 1)</f>
        <v>0.8666666666666667</v>
      </c>
      <c r="AT46" s="48" cm="1">
        <f t="array" ref="AT46">MIN(INDEX(Use,AT$10,5) + MAX(0, (1-INDEX(Use,AT$10,5))*($AK46-5)/(35-5)), 1)</f>
        <v>0.8666666666666667</v>
      </c>
      <c r="AU46" s="48" cm="1">
        <f t="array" ref="AU46">MIN(INDEX(Use,AU$10,5) + MAX(0, (1-INDEX(Use,AU$10,5))*($AK46-5)/(35-5)), 1)</f>
        <v>0.8666666666666667</v>
      </c>
      <c r="AV46" s="48">
        <v>1</v>
      </c>
      <c r="AW46" s="48">
        <v>1</v>
      </c>
      <c r="AX46" s="15"/>
      <c r="AY46" s="41" cm="1">
        <f t="array" ref="AY46">INDEX(Use, $AD46, 4)</f>
        <v>7</v>
      </c>
      <c r="AZ46" s="41">
        <f t="shared" si="9"/>
        <v>32</v>
      </c>
      <c r="BA46" s="41">
        <f t="shared" si="10"/>
        <v>13</v>
      </c>
      <c r="BB46" s="41">
        <f t="shared" si="11"/>
        <v>0</v>
      </c>
      <c r="BC46" s="57" cm="1">
        <f t="array" ref="BC46">K46/IF($L46&gt;0, INDEX($AO$12:$AU$66, $L46+20, $AD46), 1)</f>
        <v>0</v>
      </c>
      <c r="BD46" s="46">
        <f t="shared" si="12"/>
        <v>0</v>
      </c>
      <c r="BE46" s="41">
        <v>35</v>
      </c>
      <c r="BF46" s="46">
        <f t="shared" si="13"/>
        <v>52.55</v>
      </c>
      <c r="BG46" s="49">
        <f t="shared" si="14"/>
        <v>2.7676728869374316</v>
      </c>
      <c r="BH46" s="49" cm="1">
        <f t="array" ref="BH46">$BC46 * SUMPRODUCT(INDEX($AL$66:$AN$71,,$AE46),INDEX($AO$66:$AU$71,,$AD46), N($AK$66:$AK$71&gt;$AI46)) / BG46 / 1000</f>
        <v>0</v>
      </c>
      <c r="BI46" s="50">
        <f t="shared" si="15"/>
        <v>30</v>
      </c>
      <c r="BJ46" s="46">
        <f t="shared" si="16"/>
        <v>46.033333333333331</v>
      </c>
      <c r="BK46" s="49">
        <f t="shared" si="17"/>
        <v>3.2297395388556791</v>
      </c>
      <c r="BL46" s="49" cm="1">
        <f t="array" ref="BL46">$BC46 * IF($AD46&lt;=2,
SUMPRODUCT(INDEX($AL$61:$AN$65,,$AE46), INDEX($AO$61:$AU$65,,$AD46), 1 / ($AV$61:$AV$65*BK46 + (1-$AV$61:$AV$65)*BG46), N($AK$61:$AK$65&gt;$AI46)),
SUMPRODUCT(INDEX($AL$56:$AN$65,,$AE46), INDEX($AO$56:$AU$65,,$AD46), 1 / ($AW$56:$AW$65*BK46 + (1-$AW$56:$AW$65)*BG46), N($AK$56:$AK$65&gt;$AI46))
) / 1000</f>
        <v>0</v>
      </c>
      <c r="BM46" s="50">
        <f t="shared" si="18"/>
        <v>25</v>
      </c>
      <c r="BN46" s="46">
        <f t="shared" si="19"/>
        <v>39.516666666666666</v>
      </c>
      <c r="BO46" s="49">
        <f t="shared" si="20"/>
        <v>3.877011788826243</v>
      </c>
      <c r="BP46" s="49" cm="1">
        <f t="array" ref="BP46">$BC46 * IF($AD46&lt;=2,
SUMPRODUCT(INDEX($AL$56:$AN$60,,$AE46), INDEX($AO$56:$AU$60,,$AD46), 1 / ($AV$56:$AV$60*BO46 + (1-$AV$56:$AV$60)*BK46), N($AK$56:$AK$60&gt;$AI46)),
SUMPRODUCT(INDEX($AL$46:$AN$55,,$AE46), INDEX($AO$46:$AU$55,,$AD46), 1 / ($AW$46:$AW$55*BO46 + (1-$AW$46:$AW$55)*BK46), N($AK$46:$AK$55&gt;$AI46))
) / 1000</f>
        <v>0</v>
      </c>
      <c r="BQ46" s="50">
        <f t="shared" si="21"/>
        <v>20</v>
      </c>
      <c r="BR46" s="46">
        <f t="shared" si="22"/>
        <v>33</v>
      </c>
      <c r="BS46" s="49">
        <f t="shared" si="23"/>
        <v>4.8487499999999999</v>
      </c>
      <c r="BT46" s="49" cm="1">
        <f t="array" ref="BT46">$BC46 * IF($AD46&lt;=2,
SUMPRODUCT(INDEX($AL$51:$AN$55,,$AE46), INDEX($AO$51:$AU$55,,$AD46), 1 / ($AV$51:$AV$55*BS46 + (1-$AV$51:$AV$55)*BO46), N($AK$51:$AK$55&gt;$AI46)),
SUMPRODUCT(INDEX($AL$36:$AN$45,,$AE46), INDEX($AO$36:$AU$45,,$AD46), 1 / ($AW$36:$AW$45*BS46 + (1-$AW$36:$AW$45)*BO46), N($AK$36:$AK$45&gt;$AI46))
) / 1000</f>
        <v>0</v>
      </c>
      <c r="BU46" s="49" cm="1">
        <f t="array" ref="BU46">$BC46 * IF($AD46&lt;=2,
SUMPRODUCT(INDEX($AL$12:$AN$50,,$AE46), INDEX($AO$12:$AU$50,,$AD46), 1 / ($AV$12:$AV$50*BS46), N($AK$12:$AK$50&gt;$AI46)),
SUMPRODUCT(INDEX($AL$12:$AN$35,,$AE46), INDEX($AO$12:$AU$35,,$AD46), 1 / ($AW$12:$AW$35*BS46), N($AK$12:$AK$35&gt;$AI46))
) / 1000</f>
        <v>0</v>
      </c>
      <c r="BV46" s="46">
        <f t="shared" si="24"/>
        <v>0</v>
      </c>
      <c r="BW46" s="20"/>
      <c r="BX46" s="46">
        <f t="shared" si="25"/>
        <v>0</v>
      </c>
      <c r="BY46" s="41">
        <v>35</v>
      </c>
      <c r="BZ46" s="46">
        <f t="shared" si="26"/>
        <v>48</v>
      </c>
      <c r="CA46" s="49">
        <f t="shared" si="27"/>
        <v>3.0748170731707316</v>
      </c>
      <c r="CB46" s="49" cm="1">
        <f t="array" ref="CB46">$BC46 * SUMPRODUCT(INDEX($AL$66:$AN$71,,$AE46),INDEX($AO$66:$AU$71,,$AD46), N($AK$66:$AK$71&gt;$AI46)) / CA46 / 1000</f>
        <v>0</v>
      </c>
      <c r="CC46" s="50">
        <f t="shared" si="28"/>
        <v>30</v>
      </c>
      <c r="CD46" s="46">
        <f t="shared" si="29"/>
        <v>43</v>
      </c>
      <c r="CE46" s="49">
        <f t="shared" si="30"/>
        <v>3.5018750000000001</v>
      </c>
      <c r="CF46" s="49" cm="1">
        <f t="array" ref="CF46">$BC46 * IF($AD46&lt;=2,
SUMPRODUCT(INDEX($AL$61:$AN$65,,$AE46), INDEX($AO$61:$AU$65,,$AD46), 1 / ($AV$61:$AV$65*CE46 + (1-$AV$61:$AV$65)*CA46), N($AK$61:$AK$65&gt;$AI46)),
SUMPRODUCT(INDEX($AL$56:$AN$65,,$AE46), INDEX($AO$56:$AU$65,,$AD46), 1 / ($AW$56:$AW$65*CE46 + (1-$AW$56:$AW$65)*CA46), N($AK$56:$AK$65&gt;$AI46))
) / 1000</f>
        <v>0</v>
      </c>
      <c r="CG46" s="50">
        <f t="shared" si="31"/>
        <v>25</v>
      </c>
      <c r="CH46" s="46">
        <f t="shared" si="32"/>
        <v>38</v>
      </c>
      <c r="CI46" s="49">
        <f t="shared" si="33"/>
        <v>4.0666935483870965</v>
      </c>
      <c r="CJ46" s="49" cm="1">
        <f t="array" ref="CJ46">$BC46 * IF($AD46&lt;=2,
SUMPRODUCT(INDEX($AL$56:$AN$60,,$AE46), INDEX($AO$56:$AU$60,,$AD46), 1 / ($AV$56:$AV$60*CI46 + (1-$AV$56:$AV$60)*CE46), N($AK$56:$AK$60&gt;$AI46)),
SUMPRODUCT(INDEX($AL$46:$AN$55,,$AE46), INDEX($AO$46:$AU$55,,$AD46), 1 / ($AW$46:$AW$55*CI46 + (1-$AW$46:$AW$55)*CE46), N($AK$46:$AK$55&gt;$AI46))
) / 1000</f>
        <v>0</v>
      </c>
      <c r="CK46" s="50">
        <f t="shared" si="34"/>
        <v>20</v>
      </c>
      <c r="CL46" s="46">
        <f t="shared" si="35"/>
        <v>33</v>
      </c>
      <c r="CM46" s="49">
        <f t="shared" si="36"/>
        <v>4.8487499999999999</v>
      </c>
      <c r="CN46" s="49" cm="1">
        <f t="array" ref="CN46">$BC46 * IF($AD46&lt;=2,
SUMPRODUCT(INDEX($AL$51:$AN$55,,$AE46), INDEX($AO$51:$AU$55,,$AD46), 1 / ($AV$51:$AV$55*CM46 + (1-$AV$51:$AV$55)*CI46), N($AK$51:$AK$55&gt;$AI46)),
SUMPRODUCT(INDEX($AL$36:$AN$45,,$AE46), INDEX($AO$36:$AU$45,,$AD46), 1 / ($AW$36:$AW$45*CM46 + (1-$AW$36:$AW$45)*CI46), N($AK$36:$AK$45&gt;$AI46))
) / 1000</f>
        <v>0</v>
      </c>
      <c r="CO46" s="49" cm="1">
        <f t="array" ref="CO46">$BC46 * IF($AD46&lt;=2,
SUMPRODUCT(INDEX($AL$12:$AN$50,,$AE46), INDEX($AO$12:$AU$50,,$AD46), 1 / ($AV$12:$AV$50*CM46), N($AK$12:$AK$50&gt;$AI46)),
SUMPRODUCT(INDEX($AL$12:$AN$35,,$AE46), INDEX($AO$12:$AU$35,,$AD46), 1 / ($AW$12:$AW$35*CM46), N($AK$12:$AK$35&gt;$AI46))
) / 1000</f>
        <v>0</v>
      </c>
      <c r="CP46" s="46">
        <f t="shared" si="37"/>
        <v>0</v>
      </c>
      <c r="CQ46" s="20"/>
    </row>
    <row r="47" spans="1:95" s="95" customFormat="1" ht="14.25" customHeight="1" x14ac:dyDescent="0.25">
      <c r="A47" s="36" t="b">
        <f t="shared" si="38"/>
        <v>0</v>
      </c>
      <c r="B47" s="94">
        <v>36</v>
      </c>
      <c r="C47" s="7"/>
      <c r="D47" s="7"/>
      <c r="E47" s="33"/>
      <c r="F47" s="8" t="str">
        <f>IF(ISBLANK(E47), "", VLOOKUP(E47, Z!$A$2:$C$4127, 3, FALSE))</f>
        <v/>
      </c>
      <c r="G47" s="44"/>
      <c r="H47" s="44"/>
      <c r="I47" s="107"/>
      <c r="J47" s="108"/>
      <c r="K47" s="34"/>
      <c r="L47" s="59"/>
      <c r="M47" s="58" t="str" cm="1">
        <f t="array" ref="M47">IF($K47&gt;0, INDEX(Clean,1+AG47,$B$1), "")</f>
        <v/>
      </c>
      <c r="N47" s="62"/>
      <c r="O47" s="62"/>
      <c r="P47" s="63"/>
      <c r="Q47" s="52">
        <f t="shared" si="7"/>
        <v>0</v>
      </c>
      <c r="R47" s="58" t="str" cm="1">
        <f t="array" ref="R47">IF($K47&gt;0, INDEX(Clean,1+AH47,$B$1), "")</f>
        <v/>
      </c>
      <c r="S47" s="62"/>
      <c r="T47" s="62"/>
      <c r="U47" s="63"/>
      <c r="V47" s="52">
        <f t="shared" si="8"/>
        <v>0</v>
      </c>
      <c r="W47" s="6"/>
      <c r="X47" s="7"/>
      <c r="Y47" s="33"/>
      <c r="Z47" s="8" t="str">
        <f>IF(ISBLANK(Y47), "", VLOOKUP(Y47, Z!$A$2:$C$4127, 3, FALSE))</f>
        <v/>
      </c>
      <c r="AA47" s="38"/>
      <c r="AB47" s="9">
        <f t="shared" si="39"/>
        <v>0</v>
      </c>
      <c r="AC47" s="20"/>
      <c r="AD47" s="41">
        <f t="shared" si="40"/>
        <v>1</v>
      </c>
      <c r="AE47" s="41">
        <f t="shared" si="41"/>
        <v>1</v>
      </c>
      <c r="AF47" s="41">
        <f t="shared" si="42"/>
        <v>0</v>
      </c>
      <c r="AG47" s="41">
        <v>1</v>
      </c>
      <c r="AH47" s="41">
        <v>0</v>
      </c>
      <c r="AI47" s="41">
        <f t="shared" si="43"/>
        <v>-100</v>
      </c>
      <c r="AJ47" s="20"/>
      <c r="AK47" s="41">
        <v>16</v>
      </c>
      <c r="AL47" s="50">
        <v>395</v>
      </c>
      <c r="AM47" s="50">
        <v>374</v>
      </c>
      <c r="AN47" s="50">
        <v>390</v>
      </c>
      <c r="AO47" s="48">
        <f t="shared" si="6"/>
        <v>0</v>
      </c>
      <c r="AP47" s="48">
        <f t="shared" si="6"/>
        <v>0</v>
      </c>
      <c r="AQ47" s="48" cm="1">
        <f t="array" ref="AQ47">MIN(INDEX(Use,AQ$10,5) + MAX(0, (1-INDEX(Use,AQ$10,5))*($AK47-5)/(35-5)), 1)</f>
        <v>0.62</v>
      </c>
      <c r="AR47" s="48" cm="1">
        <f t="array" ref="AR47">MIN(INDEX(Use,AR$10,5) + MAX(0, (1-INDEX(Use,AR$10,5))*($AK47-5)/(35-5)), 1)</f>
        <v>0.74666666666666659</v>
      </c>
      <c r="AS47" s="48" cm="1">
        <f t="array" ref="AS47">MIN(INDEX(Use,AS$10,5) + MAX(0, (1-INDEX(Use,AS$10,5))*($AK47-5)/(35-5)), 1)</f>
        <v>0.87333333333333329</v>
      </c>
      <c r="AT47" s="48" cm="1">
        <f t="array" ref="AT47">MIN(INDEX(Use,AT$10,5) + MAX(0, (1-INDEX(Use,AT$10,5))*($AK47-5)/(35-5)), 1)</f>
        <v>0.87333333333333329</v>
      </c>
      <c r="AU47" s="48" cm="1">
        <f t="array" ref="AU47">MIN(INDEX(Use,AU$10,5) + MAX(0, (1-INDEX(Use,AU$10,5))*($AK47-5)/(35-5)), 1)</f>
        <v>0.87333333333333329</v>
      </c>
      <c r="AV47" s="48">
        <v>1</v>
      </c>
      <c r="AW47" s="48">
        <v>0.9</v>
      </c>
      <c r="AX47" s="15"/>
      <c r="AY47" s="41" cm="1">
        <f t="array" ref="AY47">INDEX(Use, $AD47, 4)</f>
        <v>7</v>
      </c>
      <c r="AZ47" s="41">
        <f t="shared" si="9"/>
        <v>32</v>
      </c>
      <c r="BA47" s="41">
        <f t="shared" si="10"/>
        <v>13</v>
      </c>
      <c r="BB47" s="41">
        <f t="shared" si="11"/>
        <v>0</v>
      </c>
      <c r="BC47" s="57" cm="1">
        <f t="array" ref="BC47">K47/IF($L47&gt;0, INDEX($AO$12:$AU$66, $L47+20, $AD47), 1)</f>
        <v>0</v>
      </c>
      <c r="BD47" s="46">
        <f t="shared" si="12"/>
        <v>0</v>
      </c>
      <c r="BE47" s="41">
        <v>35</v>
      </c>
      <c r="BF47" s="46">
        <f t="shared" si="13"/>
        <v>52.55</v>
      </c>
      <c r="BG47" s="49">
        <f t="shared" si="14"/>
        <v>2.7676728869374316</v>
      </c>
      <c r="BH47" s="49" cm="1">
        <f t="array" ref="BH47">$BC47 * SUMPRODUCT(INDEX($AL$66:$AN$71,,$AE47),INDEX($AO$66:$AU$71,,$AD47), N($AK$66:$AK$71&gt;$AI47)) / BG47 / 1000</f>
        <v>0</v>
      </c>
      <c r="BI47" s="50">
        <f t="shared" si="15"/>
        <v>30</v>
      </c>
      <c r="BJ47" s="46">
        <f t="shared" si="16"/>
        <v>46.033333333333331</v>
      </c>
      <c r="BK47" s="49">
        <f t="shared" si="17"/>
        <v>3.2297395388556791</v>
      </c>
      <c r="BL47" s="49" cm="1">
        <f t="array" ref="BL47">$BC47 * IF($AD47&lt;=2,
SUMPRODUCT(INDEX($AL$61:$AN$65,,$AE47), INDEX($AO$61:$AU$65,,$AD47), 1 / ($AV$61:$AV$65*BK47 + (1-$AV$61:$AV$65)*BG47), N($AK$61:$AK$65&gt;$AI47)),
SUMPRODUCT(INDEX($AL$56:$AN$65,,$AE47), INDEX($AO$56:$AU$65,,$AD47), 1 / ($AW$56:$AW$65*BK47 + (1-$AW$56:$AW$65)*BG47), N($AK$56:$AK$65&gt;$AI47))
) / 1000</f>
        <v>0</v>
      </c>
      <c r="BM47" s="50">
        <f t="shared" si="18"/>
        <v>25</v>
      </c>
      <c r="BN47" s="46">
        <f t="shared" si="19"/>
        <v>39.516666666666666</v>
      </c>
      <c r="BO47" s="49">
        <f t="shared" si="20"/>
        <v>3.877011788826243</v>
      </c>
      <c r="BP47" s="49" cm="1">
        <f t="array" ref="BP47">$BC47 * IF($AD47&lt;=2,
SUMPRODUCT(INDEX($AL$56:$AN$60,,$AE47), INDEX($AO$56:$AU$60,,$AD47), 1 / ($AV$56:$AV$60*BO47 + (1-$AV$56:$AV$60)*BK47), N($AK$56:$AK$60&gt;$AI47)),
SUMPRODUCT(INDEX($AL$46:$AN$55,,$AE47), INDEX($AO$46:$AU$55,,$AD47), 1 / ($AW$46:$AW$55*BO47 + (1-$AW$46:$AW$55)*BK47), N($AK$46:$AK$55&gt;$AI47))
) / 1000</f>
        <v>0</v>
      </c>
      <c r="BQ47" s="50">
        <f t="shared" si="21"/>
        <v>20</v>
      </c>
      <c r="BR47" s="46">
        <f t="shared" si="22"/>
        <v>33</v>
      </c>
      <c r="BS47" s="49">
        <f t="shared" si="23"/>
        <v>4.8487499999999999</v>
      </c>
      <c r="BT47" s="49" cm="1">
        <f t="array" ref="BT47">$BC47 * IF($AD47&lt;=2,
SUMPRODUCT(INDEX($AL$51:$AN$55,,$AE47), INDEX($AO$51:$AU$55,,$AD47), 1 / ($AV$51:$AV$55*BS47 + (1-$AV$51:$AV$55)*BO47), N($AK$51:$AK$55&gt;$AI47)),
SUMPRODUCT(INDEX($AL$36:$AN$45,,$AE47), INDEX($AO$36:$AU$45,,$AD47), 1 / ($AW$36:$AW$45*BS47 + (1-$AW$36:$AW$45)*BO47), N($AK$36:$AK$45&gt;$AI47))
) / 1000</f>
        <v>0</v>
      </c>
      <c r="BU47" s="49" cm="1">
        <f t="array" ref="BU47">$BC47 * IF($AD47&lt;=2,
SUMPRODUCT(INDEX($AL$12:$AN$50,,$AE47), INDEX($AO$12:$AU$50,,$AD47), 1 / ($AV$12:$AV$50*BS47), N($AK$12:$AK$50&gt;$AI47)),
SUMPRODUCT(INDEX($AL$12:$AN$35,,$AE47), INDEX($AO$12:$AU$35,,$AD47), 1 / ($AW$12:$AW$35*BS47), N($AK$12:$AK$35&gt;$AI47))
) / 1000</f>
        <v>0</v>
      </c>
      <c r="BV47" s="46">
        <f t="shared" si="24"/>
        <v>0</v>
      </c>
      <c r="BW47" s="20"/>
      <c r="BX47" s="46">
        <f t="shared" si="25"/>
        <v>0</v>
      </c>
      <c r="BY47" s="41">
        <v>35</v>
      </c>
      <c r="BZ47" s="46">
        <f t="shared" si="26"/>
        <v>48</v>
      </c>
      <c r="CA47" s="49">
        <f t="shared" si="27"/>
        <v>3.0748170731707316</v>
      </c>
      <c r="CB47" s="49" cm="1">
        <f t="array" ref="CB47">$BC47 * SUMPRODUCT(INDEX($AL$66:$AN$71,,$AE47),INDEX($AO$66:$AU$71,,$AD47), N($AK$66:$AK$71&gt;$AI47)) / CA47 / 1000</f>
        <v>0</v>
      </c>
      <c r="CC47" s="50">
        <f t="shared" si="28"/>
        <v>30</v>
      </c>
      <c r="CD47" s="46">
        <f t="shared" si="29"/>
        <v>43</v>
      </c>
      <c r="CE47" s="49">
        <f t="shared" si="30"/>
        <v>3.5018750000000001</v>
      </c>
      <c r="CF47" s="49" cm="1">
        <f t="array" ref="CF47">$BC47 * IF($AD47&lt;=2,
SUMPRODUCT(INDEX($AL$61:$AN$65,,$AE47), INDEX($AO$61:$AU$65,,$AD47), 1 / ($AV$61:$AV$65*CE47 + (1-$AV$61:$AV$65)*CA47), N($AK$61:$AK$65&gt;$AI47)),
SUMPRODUCT(INDEX($AL$56:$AN$65,,$AE47), INDEX($AO$56:$AU$65,,$AD47), 1 / ($AW$56:$AW$65*CE47 + (1-$AW$56:$AW$65)*CA47), N($AK$56:$AK$65&gt;$AI47))
) / 1000</f>
        <v>0</v>
      </c>
      <c r="CG47" s="50">
        <f t="shared" si="31"/>
        <v>25</v>
      </c>
      <c r="CH47" s="46">
        <f t="shared" si="32"/>
        <v>38</v>
      </c>
      <c r="CI47" s="49">
        <f t="shared" si="33"/>
        <v>4.0666935483870965</v>
      </c>
      <c r="CJ47" s="49" cm="1">
        <f t="array" ref="CJ47">$BC47 * IF($AD47&lt;=2,
SUMPRODUCT(INDEX($AL$56:$AN$60,,$AE47), INDEX($AO$56:$AU$60,,$AD47), 1 / ($AV$56:$AV$60*CI47 + (1-$AV$56:$AV$60)*CE47), N($AK$56:$AK$60&gt;$AI47)),
SUMPRODUCT(INDEX($AL$46:$AN$55,,$AE47), INDEX($AO$46:$AU$55,,$AD47), 1 / ($AW$46:$AW$55*CI47 + (1-$AW$46:$AW$55)*CE47), N($AK$46:$AK$55&gt;$AI47))
) / 1000</f>
        <v>0</v>
      </c>
      <c r="CK47" s="50">
        <f t="shared" si="34"/>
        <v>20</v>
      </c>
      <c r="CL47" s="46">
        <f t="shared" si="35"/>
        <v>33</v>
      </c>
      <c r="CM47" s="49">
        <f t="shared" si="36"/>
        <v>4.8487499999999999</v>
      </c>
      <c r="CN47" s="49" cm="1">
        <f t="array" ref="CN47">$BC47 * IF($AD47&lt;=2,
SUMPRODUCT(INDEX($AL$51:$AN$55,,$AE47), INDEX($AO$51:$AU$55,,$AD47), 1 / ($AV$51:$AV$55*CM47 + (1-$AV$51:$AV$55)*CI47), N($AK$51:$AK$55&gt;$AI47)),
SUMPRODUCT(INDEX($AL$36:$AN$45,,$AE47), INDEX($AO$36:$AU$45,,$AD47), 1 / ($AW$36:$AW$45*CM47 + (1-$AW$36:$AW$45)*CI47), N($AK$36:$AK$45&gt;$AI47))
) / 1000</f>
        <v>0</v>
      </c>
      <c r="CO47" s="49" cm="1">
        <f t="array" ref="CO47">$BC47 * IF($AD47&lt;=2,
SUMPRODUCT(INDEX($AL$12:$AN$50,,$AE47), INDEX($AO$12:$AU$50,,$AD47), 1 / ($AV$12:$AV$50*CM47), N($AK$12:$AK$50&gt;$AI47)),
SUMPRODUCT(INDEX($AL$12:$AN$35,,$AE47), INDEX($AO$12:$AU$35,,$AD47), 1 / ($AW$12:$AW$35*CM47), N($AK$12:$AK$35&gt;$AI47))
) / 1000</f>
        <v>0</v>
      </c>
      <c r="CP47" s="46">
        <f t="shared" si="37"/>
        <v>0</v>
      </c>
      <c r="CQ47" s="20"/>
    </row>
    <row r="48" spans="1:95" s="95" customFormat="1" ht="14.25" customHeight="1" x14ac:dyDescent="0.25">
      <c r="A48" s="36" t="b">
        <f t="shared" si="38"/>
        <v>0</v>
      </c>
      <c r="B48" s="94">
        <v>37</v>
      </c>
      <c r="C48" s="7"/>
      <c r="D48" s="7"/>
      <c r="E48" s="33"/>
      <c r="F48" s="8" t="str">
        <f>IF(ISBLANK(E48), "", VLOOKUP(E48, Z!$A$2:$C$4127, 3, FALSE))</f>
        <v/>
      </c>
      <c r="G48" s="44"/>
      <c r="H48" s="44"/>
      <c r="I48" s="107"/>
      <c r="J48" s="108"/>
      <c r="K48" s="34"/>
      <c r="L48" s="59"/>
      <c r="M48" s="58" t="str" cm="1">
        <f t="array" ref="M48">IF($K48&gt;0, INDEX(Clean,1+AG48,$B$1), "")</f>
        <v/>
      </c>
      <c r="N48" s="62"/>
      <c r="O48" s="62"/>
      <c r="P48" s="63"/>
      <c r="Q48" s="52">
        <f t="shared" si="7"/>
        <v>0</v>
      </c>
      <c r="R48" s="58" t="str" cm="1">
        <f t="array" ref="R48">IF($K48&gt;0, INDEX(Clean,1+AH48,$B$1), "")</f>
        <v/>
      </c>
      <c r="S48" s="62"/>
      <c r="T48" s="62"/>
      <c r="U48" s="63"/>
      <c r="V48" s="52">
        <f t="shared" si="8"/>
        <v>0</v>
      </c>
      <c r="W48" s="6"/>
      <c r="X48" s="7"/>
      <c r="Y48" s="33"/>
      <c r="Z48" s="8" t="str">
        <f>IF(ISBLANK(Y48), "", VLOOKUP(Y48, Z!$A$2:$C$4127, 3, FALSE))</f>
        <v/>
      </c>
      <c r="AA48" s="38"/>
      <c r="AB48" s="9">
        <f t="shared" si="39"/>
        <v>0</v>
      </c>
      <c r="AC48" s="20"/>
      <c r="AD48" s="41">
        <f t="shared" si="40"/>
        <v>1</v>
      </c>
      <c r="AE48" s="41">
        <f t="shared" si="41"/>
        <v>1</v>
      </c>
      <c r="AF48" s="41">
        <f t="shared" si="42"/>
        <v>0</v>
      </c>
      <c r="AG48" s="41">
        <v>1</v>
      </c>
      <c r="AH48" s="41">
        <v>0</v>
      </c>
      <c r="AI48" s="41">
        <f t="shared" si="43"/>
        <v>-100</v>
      </c>
      <c r="AJ48" s="20"/>
      <c r="AK48" s="41">
        <v>17</v>
      </c>
      <c r="AL48" s="50">
        <v>358</v>
      </c>
      <c r="AM48" s="50">
        <v>301</v>
      </c>
      <c r="AN48" s="50">
        <v>365</v>
      </c>
      <c r="AO48" s="48">
        <f t="shared" si="6"/>
        <v>0</v>
      </c>
      <c r="AP48" s="48">
        <f t="shared" si="6"/>
        <v>0</v>
      </c>
      <c r="AQ48" s="48" cm="1">
        <f t="array" ref="AQ48">MIN(INDEX(Use,AQ$10,5) + MAX(0, (1-INDEX(Use,AQ$10,5))*($AK48-5)/(35-5)), 1)</f>
        <v>0.64</v>
      </c>
      <c r="AR48" s="48" cm="1">
        <f t="array" ref="AR48">MIN(INDEX(Use,AR$10,5) + MAX(0, (1-INDEX(Use,AR$10,5))*($AK48-5)/(35-5)), 1)</f>
        <v>0.76</v>
      </c>
      <c r="AS48" s="48" cm="1">
        <f t="array" ref="AS48">MIN(INDEX(Use,AS$10,5) + MAX(0, (1-INDEX(Use,AS$10,5))*($AK48-5)/(35-5)), 1)</f>
        <v>0.88</v>
      </c>
      <c r="AT48" s="48" cm="1">
        <f t="array" ref="AT48">MIN(INDEX(Use,AT$10,5) + MAX(0, (1-INDEX(Use,AT$10,5))*($AK48-5)/(35-5)), 1)</f>
        <v>0.88</v>
      </c>
      <c r="AU48" s="48" cm="1">
        <f t="array" ref="AU48">MIN(INDEX(Use,AU$10,5) + MAX(0, (1-INDEX(Use,AU$10,5))*($AK48-5)/(35-5)), 1)</f>
        <v>0.88</v>
      </c>
      <c r="AV48" s="48">
        <v>1</v>
      </c>
      <c r="AW48" s="48">
        <v>0.8</v>
      </c>
      <c r="AX48" s="15"/>
      <c r="AY48" s="41" cm="1">
        <f t="array" ref="AY48">INDEX(Use, $AD48, 4)</f>
        <v>7</v>
      </c>
      <c r="AZ48" s="41">
        <f t="shared" si="9"/>
        <v>32</v>
      </c>
      <c r="BA48" s="41">
        <f t="shared" si="10"/>
        <v>13</v>
      </c>
      <c r="BB48" s="41">
        <f t="shared" si="11"/>
        <v>0</v>
      </c>
      <c r="BC48" s="57" cm="1">
        <f t="array" ref="BC48">K48/IF($L48&gt;0, INDEX($AO$12:$AU$66, $L48+20, $AD48), 1)</f>
        <v>0</v>
      </c>
      <c r="BD48" s="46">
        <f t="shared" si="12"/>
        <v>0</v>
      </c>
      <c r="BE48" s="41">
        <v>35</v>
      </c>
      <c r="BF48" s="46">
        <f t="shared" si="13"/>
        <v>52.55</v>
      </c>
      <c r="BG48" s="49">
        <f t="shared" si="14"/>
        <v>2.7676728869374316</v>
      </c>
      <c r="BH48" s="49" cm="1">
        <f t="array" ref="BH48">$BC48 * SUMPRODUCT(INDEX($AL$66:$AN$71,,$AE48),INDEX($AO$66:$AU$71,,$AD48), N($AK$66:$AK$71&gt;$AI48)) / BG48 / 1000</f>
        <v>0</v>
      </c>
      <c r="BI48" s="50">
        <f t="shared" si="15"/>
        <v>30</v>
      </c>
      <c r="BJ48" s="46">
        <f t="shared" si="16"/>
        <v>46.033333333333331</v>
      </c>
      <c r="BK48" s="49">
        <f t="shared" si="17"/>
        <v>3.2297395388556791</v>
      </c>
      <c r="BL48" s="49" cm="1">
        <f t="array" ref="BL48">$BC48 * IF($AD48&lt;=2,
SUMPRODUCT(INDEX($AL$61:$AN$65,,$AE48), INDEX($AO$61:$AU$65,,$AD48), 1 / ($AV$61:$AV$65*BK48 + (1-$AV$61:$AV$65)*BG48), N($AK$61:$AK$65&gt;$AI48)),
SUMPRODUCT(INDEX($AL$56:$AN$65,,$AE48), INDEX($AO$56:$AU$65,,$AD48), 1 / ($AW$56:$AW$65*BK48 + (1-$AW$56:$AW$65)*BG48), N($AK$56:$AK$65&gt;$AI48))
) / 1000</f>
        <v>0</v>
      </c>
      <c r="BM48" s="50">
        <f t="shared" si="18"/>
        <v>25</v>
      </c>
      <c r="BN48" s="46">
        <f t="shared" si="19"/>
        <v>39.516666666666666</v>
      </c>
      <c r="BO48" s="49">
        <f t="shared" si="20"/>
        <v>3.877011788826243</v>
      </c>
      <c r="BP48" s="49" cm="1">
        <f t="array" ref="BP48">$BC48 * IF($AD48&lt;=2,
SUMPRODUCT(INDEX($AL$56:$AN$60,,$AE48), INDEX($AO$56:$AU$60,,$AD48), 1 / ($AV$56:$AV$60*BO48 + (1-$AV$56:$AV$60)*BK48), N($AK$56:$AK$60&gt;$AI48)),
SUMPRODUCT(INDEX($AL$46:$AN$55,,$AE48), INDEX($AO$46:$AU$55,,$AD48), 1 / ($AW$46:$AW$55*BO48 + (1-$AW$46:$AW$55)*BK48), N($AK$46:$AK$55&gt;$AI48))
) / 1000</f>
        <v>0</v>
      </c>
      <c r="BQ48" s="50">
        <f t="shared" si="21"/>
        <v>20</v>
      </c>
      <c r="BR48" s="46">
        <f t="shared" si="22"/>
        <v>33</v>
      </c>
      <c r="BS48" s="49">
        <f t="shared" si="23"/>
        <v>4.8487499999999999</v>
      </c>
      <c r="BT48" s="49" cm="1">
        <f t="array" ref="BT48">$BC48 * IF($AD48&lt;=2,
SUMPRODUCT(INDEX($AL$51:$AN$55,,$AE48), INDEX($AO$51:$AU$55,,$AD48), 1 / ($AV$51:$AV$55*BS48 + (1-$AV$51:$AV$55)*BO48), N($AK$51:$AK$55&gt;$AI48)),
SUMPRODUCT(INDEX($AL$36:$AN$45,,$AE48), INDEX($AO$36:$AU$45,,$AD48), 1 / ($AW$36:$AW$45*BS48 + (1-$AW$36:$AW$45)*BO48), N($AK$36:$AK$45&gt;$AI48))
) / 1000</f>
        <v>0</v>
      </c>
      <c r="BU48" s="49" cm="1">
        <f t="array" ref="BU48">$BC48 * IF($AD48&lt;=2,
SUMPRODUCT(INDEX($AL$12:$AN$50,,$AE48), INDEX($AO$12:$AU$50,,$AD48), 1 / ($AV$12:$AV$50*BS48), N($AK$12:$AK$50&gt;$AI48)),
SUMPRODUCT(INDEX($AL$12:$AN$35,,$AE48), INDEX($AO$12:$AU$35,,$AD48), 1 / ($AW$12:$AW$35*BS48), N($AK$12:$AK$35&gt;$AI48))
) / 1000</f>
        <v>0</v>
      </c>
      <c r="BV48" s="46">
        <f t="shared" si="24"/>
        <v>0</v>
      </c>
      <c r="BW48" s="20"/>
      <c r="BX48" s="46">
        <f t="shared" si="25"/>
        <v>0</v>
      </c>
      <c r="BY48" s="41">
        <v>35</v>
      </c>
      <c r="BZ48" s="46">
        <f t="shared" si="26"/>
        <v>48</v>
      </c>
      <c r="CA48" s="49">
        <f t="shared" si="27"/>
        <v>3.0748170731707316</v>
      </c>
      <c r="CB48" s="49" cm="1">
        <f t="array" ref="CB48">$BC48 * SUMPRODUCT(INDEX($AL$66:$AN$71,,$AE48),INDEX($AO$66:$AU$71,,$AD48), N($AK$66:$AK$71&gt;$AI48)) / CA48 / 1000</f>
        <v>0</v>
      </c>
      <c r="CC48" s="50">
        <f t="shared" si="28"/>
        <v>30</v>
      </c>
      <c r="CD48" s="46">
        <f t="shared" si="29"/>
        <v>43</v>
      </c>
      <c r="CE48" s="49">
        <f t="shared" si="30"/>
        <v>3.5018750000000001</v>
      </c>
      <c r="CF48" s="49" cm="1">
        <f t="array" ref="CF48">$BC48 * IF($AD48&lt;=2,
SUMPRODUCT(INDEX($AL$61:$AN$65,,$AE48), INDEX($AO$61:$AU$65,,$AD48), 1 / ($AV$61:$AV$65*CE48 + (1-$AV$61:$AV$65)*CA48), N($AK$61:$AK$65&gt;$AI48)),
SUMPRODUCT(INDEX($AL$56:$AN$65,,$AE48), INDEX($AO$56:$AU$65,,$AD48), 1 / ($AW$56:$AW$65*CE48 + (1-$AW$56:$AW$65)*CA48), N($AK$56:$AK$65&gt;$AI48))
) / 1000</f>
        <v>0</v>
      </c>
      <c r="CG48" s="50">
        <f t="shared" si="31"/>
        <v>25</v>
      </c>
      <c r="CH48" s="46">
        <f t="shared" si="32"/>
        <v>38</v>
      </c>
      <c r="CI48" s="49">
        <f t="shared" si="33"/>
        <v>4.0666935483870965</v>
      </c>
      <c r="CJ48" s="49" cm="1">
        <f t="array" ref="CJ48">$BC48 * IF($AD48&lt;=2,
SUMPRODUCT(INDEX($AL$56:$AN$60,,$AE48), INDEX($AO$56:$AU$60,,$AD48), 1 / ($AV$56:$AV$60*CI48 + (1-$AV$56:$AV$60)*CE48), N($AK$56:$AK$60&gt;$AI48)),
SUMPRODUCT(INDEX($AL$46:$AN$55,,$AE48), INDEX($AO$46:$AU$55,,$AD48), 1 / ($AW$46:$AW$55*CI48 + (1-$AW$46:$AW$55)*CE48), N($AK$46:$AK$55&gt;$AI48))
) / 1000</f>
        <v>0</v>
      </c>
      <c r="CK48" s="50">
        <f t="shared" si="34"/>
        <v>20</v>
      </c>
      <c r="CL48" s="46">
        <f t="shared" si="35"/>
        <v>33</v>
      </c>
      <c r="CM48" s="49">
        <f t="shared" si="36"/>
        <v>4.8487499999999999</v>
      </c>
      <c r="CN48" s="49" cm="1">
        <f t="array" ref="CN48">$BC48 * IF($AD48&lt;=2,
SUMPRODUCT(INDEX($AL$51:$AN$55,,$AE48), INDEX($AO$51:$AU$55,,$AD48), 1 / ($AV$51:$AV$55*CM48 + (1-$AV$51:$AV$55)*CI48), N($AK$51:$AK$55&gt;$AI48)),
SUMPRODUCT(INDEX($AL$36:$AN$45,,$AE48), INDEX($AO$36:$AU$45,,$AD48), 1 / ($AW$36:$AW$45*CM48 + (1-$AW$36:$AW$45)*CI48), N($AK$36:$AK$45&gt;$AI48))
) / 1000</f>
        <v>0</v>
      </c>
      <c r="CO48" s="49" cm="1">
        <f t="array" ref="CO48">$BC48 * IF($AD48&lt;=2,
SUMPRODUCT(INDEX($AL$12:$AN$50,,$AE48), INDEX($AO$12:$AU$50,,$AD48), 1 / ($AV$12:$AV$50*CM48), N($AK$12:$AK$50&gt;$AI48)),
SUMPRODUCT(INDEX($AL$12:$AN$35,,$AE48), INDEX($AO$12:$AU$35,,$AD48), 1 / ($AW$12:$AW$35*CM48), N($AK$12:$AK$35&gt;$AI48))
) / 1000</f>
        <v>0</v>
      </c>
      <c r="CP48" s="46">
        <f t="shared" si="37"/>
        <v>0</v>
      </c>
      <c r="CQ48" s="20"/>
    </row>
    <row r="49" spans="1:95" s="95" customFormat="1" ht="14.25" customHeight="1" x14ac:dyDescent="0.25">
      <c r="A49" s="36" t="b">
        <f t="shared" si="38"/>
        <v>0</v>
      </c>
      <c r="B49" s="94">
        <v>38</v>
      </c>
      <c r="C49" s="7"/>
      <c r="D49" s="7"/>
      <c r="E49" s="33"/>
      <c r="F49" s="8" t="str">
        <f>IF(ISBLANK(E49), "", VLOOKUP(E49, Z!$A$2:$C$4127, 3, FALSE))</f>
        <v/>
      </c>
      <c r="G49" s="44"/>
      <c r="H49" s="44"/>
      <c r="I49" s="107"/>
      <c r="J49" s="108"/>
      <c r="K49" s="34"/>
      <c r="L49" s="59"/>
      <c r="M49" s="58" t="str" cm="1">
        <f t="array" ref="M49">IF($K49&gt;0, INDEX(Clean,1+AG49,$B$1), "")</f>
        <v/>
      </c>
      <c r="N49" s="62"/>
      <c r="O49" s="62"/>
      <c r="P49" s="63"/>
      <c r="Q49" s="52">
        <f t="shared" si="7"/>
        <v>0</v>
      </c>
      <c r="R49" s="58" t="str" cm="1">
        <f t="array" ref="R49">IF($K49&gt;0, INDEX(Clean,1+AH49,$B$1), "")</f>
        <v/>
      </c>
      <c r="S49" s="62"/>
      <c r="T49" s="62"/>
      <c r="U49" s="63"/>
      <c r="V49" s="52">
        <f t="shared" si="8"/>
        <v>0</v>
      </c>
      <c r="W49" s="6"/>
      <c r="X49" s="7"/>
      <c r="Y49" s="33"/>
      <c r="Z49" s="8" t="str">
        <f>IF(ISBLANK(Y49), "", VLOOKUP(Y49, Z!$A$2:$C$4127, 3, FALSE))</f>
        <v/>
      </c>
      <c r="AA49" s="38"/>
      <c r="AB49" s="9">
        <f t="shared" si="39"/>
        <v>0</v>
      </c>
      <c r="AC49" s="20"/>
      <c r="AD49" s="41">
        <f t="shared" si="40"/>
        <v>1</v>
      </c>
      <c r="AE49" s="41">
        <f t="shared" si="41"/>
        <v>1</v>
      </c>
      <c r="AF49" s="41">
        <f t="shared" si="42"/>
        <v>0</v>
      </c>
      <c r="AG49" s="41">
        <v>1</v>
      </c>
      <c r="AH49" s="41">
        <v>0</v>
      </c>
      <c r="AI49" s="41">
        <f t="shared" si="43"/>
        <v>-100</v>
      </c>
      <c r="AJ49" s="20"/>
      <c r="AK49" s="41">
        <v>18</v>
      </c>
      <c r="AL49" s="50">
        <v>341</v>
      </c>
      <c r="AM49" s="50">
        <v>281</v>
      </c>
      <c r="AN49" s="50">
        <v>295</v>
      </c>
      <c r="AO49" s="48">
        <f t="shared" si="6"/>
        <v>0</v>
      </c>
      <c r="AP49" s="48">
        <f t="shared" si="6"/>
        <v>0</v>
      </c>
      <c r="AQ49" s="48" cm="1">
        <f t="array" ref="AQ49">MIN(INDEX(Use,AQ$10,5) + MAX(0, (1-INDEX(Use,AQ$10,5))*($AK49-5)/(35-5)), 1)</f>
        <v>0.66</v>
      </c>
      <c r="AR49" s="48" cm="1">
        <f t="array" ref="AR49">MIN(INDEX(Use,AR$10,5) + MAX(0, (1-INDEX(Use,AR$10,5))*($AK49-5)/(35-5)), 1)</f>
        <v>0.77333333333333332</v>
      </c>
      <c r="AS49" s="48" cm="1">
        <f t="array" ref="AS49">MIN(INDEX(Use,AS$10,5) + MAX(0, (1-INDEX(Use,AS$10,5))*($AK49-5)/(35-5)), 1)</f>
        <v>0.88666666666666671</v>
      </c>
      <c r="AT49" s="48" cm="1">
        <f t="array" ref="AT49">MIN(INDEX(Use,AT$10,5) + MAX(0, (1-INDEX(Use,AT$10,5))*($AK49-5)/(35-5)), 1)</f>
        <v>0.88666666666666671</v>
      </c>
      <c r="AU49" s="48" cm="1">
        <f t="array" ref="AU49">MIN(INDEX(Use,AU$10,5) + MAX(0, (1-INDEX(Use,AU$10,5))*($AK49-5)/(35-5)), 1)</f>
        <v>0.88666666666666671</v>
      </c>
      <c r="AV49" s="48">
        <v>1</v>
      </c>
      <c r="AW49" s="48">
        <v>0.7</v>
      </c>
      <c r="AX49" s="15"/>
      <c r="AY49" s="41" cm="1">
        <f t="array" ref="AY49">INDEX(Use, $AD49, 4)</f>
        <v>7</v>
      </c>
      <c r="AZ49" s="41">
        <f t="shared" si="9"/>
        <v>32</v>
      </c>
      <c r="BA49" s="41">
        <f t="shared" si="10"/>
        <v>13</v>
      </c>
      <c r="BB49" s="41">
        <f t="shared" si="11"/>
        <v>0</v>
      </c>
      <c r="BC49" s="57" cm="1">
        <f t="array" ref="BC49">K49/IF($L49&gt;0, INDEX($AO$12:$AU$66, $L49+20, $AD49), 1)</f>
        <v>0</v>
      </c>
      <c r="BD49" s="46">
        <f t="shared" si="12"/>
        <v>0</v>
      </c>
      <c r="BE49" s="41">
        <v>35</v>
      </c>
      <c r="BF49" s="46">
        <f t="shared" si="13"/>
        <v>52.55</v>
      </c>
      <c r="BG49" s="49">
        <f t="shared" si="14"/>
        <v>2.7676728869374316</v>
      </c>
      <c r="BH49" s="49" cm="1">
        <f t="array" ref="BH49">$BC49 * SUMPRODUCT(INDEX($AL$66:$AN$71,,$AE49),INDEX($AO$66:$AU$71,,$AD49), N($AK$66:$AK$71&gt;$AI49)) / BG49 / 1000</f>
        <v>0</v>
      </c>
      <c r="BI49" s="50">
        <f t="shared" si="15"/>
        <v>30</v>
      </c>
      <c r="BJ49" s="46">
        <f t="shared" si="16"/>
        <v>46.033333333333331</v>
      </c>
      <c r="BK49" s="49">
        <f t="shared" si="17"/>
        <v>3.2297395388556791</v>
      </c>
      <c r="BL49" s="49" cm="1">
        <f t="array" ref="BL49">$BC49 * IF($AD49&lt;=2,
SUMPRODUCT(INDEX($AL$61:$AN$65,,$AE49), INDEX($AO$61:$AU$65,,$AD49), 1 / ($AV$61:$AV$65*BK49 + (1-$AV$61:$AV$65)*BG49), N($AK$61:$AK$65&gt;$AI49)),
SUMPRODUCT(INDEX($AL$56:$AN$65,,$AE49), INDEX($AO$56:$AU$65,,$AD49), 1 / ($AW$56:$AW$65*BK49 + (1-$AW$56:$AW$65)*BG49), N($AK$56:$AK$65&gt;$AI49))
) / 1000</f>
        <v>0</v>
      </c>
      <c r="BM49" s="50">
        <f t="shared" si="18"/>
        <v>25</v>
      </c>
      <c r="BN49" s="46">
        <f t="shared" si="19"/>
        <v>39.516666666666666</v>
      </c>
      <c r="BO49" s="49">
        <f t="shared" si="20"/>
        <v>3.877011788826243</v>
      </c>
      <c r="BP49" s="49" cm="1">
        <f t="array" ref="BP49">$BC49 * IF($AD49&lt;=2,
SUMPRODUCT(INDEX($AL$56:$AN$60,,$AE49), INDEX($AO$56:$AU$60,,$AD49), 1 / ($AV$56:$AV$60*BO49 + (1-$AV$56:$AV$60)*BK49), N($AK$56:$AK$60&gt;$AI49)),
SUMPRODUCT(INDEX($AL$46:$AN$55,,$AE49), INDEX($AO$46:$AU$55,,$AD49), 1 / ($AW$46:$AW$55*BO49 + (1-$AW$46:$AW$55)*BK49), N($AK$46:$AK$55&gt;$AI49))
) / 1000</f>
        <v>0</v>
      </c>
      <c r="BQ49" s="50">
        <f t="shared" si="21"/>
        <v>20</v>
      </c>
      <c r="BR49" s="46">
        <f t="shared" si="22"/>
        <v>33</v>
      </c>
      <c r="BS49" s="49">
        <f t="shared" si="23"/>
        <v>4.8487499999999999</v>
      </c>
      <c r="BT49" s="49" cm="1">
        <f t="array" ref="BT49">$BC49 * IF($AD49&lt;=2,
SUMPRODUCT(INDEX($AL$51:$AN$55,,$AE49), INDEX($AO$51:$AU$55,,$AD49), 1 / ($AV$51:$AV$55*BS49 + (1-$AV$51:$AV$55)*BO49), N($AK$51:$AK$55&gt;$AI49)),
SUMPRODUCT(INDEX($AL$36:$AN$45,,$AE49), INDEX($AO$36:$AU$45,,$AD49), 1 / ($AW$36:$AW$45*BS49 + (1-$AW$36:$AW$45)*BO49), N($AK$36:$AK$45&gt;$AI49))
) / 1000</f>
        <v>0</v>
      </c>
      <c r="BU49" s="49" cm="1">
        <f t="array" ref="BU49">$BC49 * IF($AD49&lt;=2,
SUMPRODUCT(INDEX($AL$12:$AN$50,,$AE49), INDEX($AO$12:$AU$50,,$AD49), 1 / ($AV$12:$AV$50*BS49), N($AK$12:$AK$50&gt;$AI49)),
SUMPRODUCT(INDEX($AL$12:$AN$35,,$AE49), INDEX($AO$12:$AU$35,,$AD49), 1 / ($AW$12:$AW$35*BS49), N($AK$12:$AK$35&gt;$AI49))
) / 1000</f>
        <v>0</v>
      </c>
      <c r="BV49" s="46">
        <f t="shared" si="24"/>
        <v>0</v>
      </c>
      <c r="BW49" s="20"/>
      <c r="BX49" s="46">
        <f t="shared" si="25"/>
        <v>0</v>
      </c>
      <c r="BY49" s="41">
        <v>35</v>
      </c>
      <c r="BZ49" s="46">
        <f t="shared" si="26"/>
        <v>48</v>
      </c>
      <c r="CA49" s="49">
        <f t="shared" si="27"/>
        <v>3.0748170731707316</v>
      </c>
      <c r="CB49" s="49" cm="1">
        <f t="array" ref="CB49">$BC49 * SUMPRODUCT(INDEX($AL$66:$AN$71,,$AE49),INDEX($AO$66:$AU$71,,$AD49), N($AK$66:$AK$71&gt;$AI49)) / CA49 / 1000</f>
        <v>0</v>
      </c>
      <c r="CC49" s="50">
        <f t="shared" si="28"/>
        <v>30</v>
      </c>
      <c r="CD49" s="46">
        <f t="shared" si="29"/>
        <v>43</v>
      </c>
      <c r="CE49" s="49">
        <f t="shared" si="30"/>
        <v>3.5018750000000001</v>
      </c>
      <c r="CF49" s="49" cm="1">
        <f t="array" ref="CF49">$BC49 * IF($AD49&lt;=2,
SUMPRODUCT(INDEX($AL$61:$AN$65,,$AE49), INDEX($AO$61:$AU$65,,$AD49), 1 / ($AV$61:$AV$65*CE49 + (1-$AV$61:$AV$65)*CA49), N($AK$61:$AK$65&gt;$AI49)),
SUMPRODUCT(INDEX($AL$56:$AN$65,,$AE49), INDEX($AO$56:$AU$65,,$AD49), 1 / ($AW$56:$AW$65*CE49 + (1-$AW$56:$AW$65)*CA49), N($AK$56:$AK$65&gt;$AI49))
) / 1000</f>
        <v>0</v>
      </c>
      <c r="CG49" s="50">
        <f t="shared" si="31"/>
        <v>25</v>
      </c>
      <c r="CH49" s="46">
        <f t="shared" si="32"/>
        <v>38</v>
      </c>
      <c r="CI49" s="49">
        <f t="shared" si="33"/>
        <v>4.0666935483870965</v>
      </c>
      <c r="CJ49" s="49" cm="1">
        <f t="array" ref="CJ49">$BC49 * IF($AD49&lt;=2,
SUMPRODUCT(INDEX($AL$56:$AN$60,,$AE49), INDEX($AO$56:$AU$60,,$AD49), 1 / ($AV$56:$AV$60*CI49 + (1-$AV$56:$AV$60)*CE49), N($AK$56:$AK$60&gt;$AI49)),
SUMPRODUCT(INDEX($AL$46:$AN$55,,$AE49), INDEX($AO$46:$AU$55,,$AD49), 1 / ($AW$46:$AW$55*CI49 + (1-$AW$46:$AW$55)*CE49), N($AK$46:$AK$55&gt;$AI49))
) / 1000</f>
        <v>0</v>
      </c>
      <c r="CK49" s="50">
        <f t="shared" si="34"/>
        <v>20</v>
      </c>
      <c r="CL49" s="46">
        <f t="shared" si="35"/>
        <v>33</v>
      </c>
      <c r="CM49" s="49">
        <f t="shared" si="36"/>
        <v>4.8487499999999999</v>
      </c>
      <c r="CN49" s="49" cm="1">
        <f t="array" ref="CN49">$BC49 * IF($AD49&lt;=2,
SUMPRODUCT(INDEX($AL$51:$AN$55,,$AE49), INDEX($AO$51:$AU$55,,$AD49), 1 / ($AV$51:$AV$55*CM49 + (1-$AV$51:$AV$55)*CI49), N($AK$51:$AK$55&gt;$AI49)),
SUMPRODUCT(INDEX($AL$36:$AN$45,,$AE49), INDEX($AO$36:$AU$45,,$AD49), 1 / ($AW$36:$AW$45*CM49 + (1-$AW$36:$AW$45)*CI49), N($AK$36:$AK$45&gt;$AI49))
) / 1000</f>
        <v>0</v>
      </c>
      <c r="CO49" s="49" cm="1">
        <f t="array" ref="CO49">$BC49 * IF($AD49&lt;=2,
SUMPRODUCT(INDEX($AL$12:$AN$50,,$AE49), INDEX($AO$12:$AU$50,,$AD49), 1 / ($AV$12:$AV$50*CM49), N($AK$12:$AK$50&gt;$AI49)),
SUMPRODUCT(INDEX($AL$12:$AN$35,,$AE49), INDEX($AO$12:$AU$35,,$AD49), 1 / ($AW$12:$AW$35*CM49), N($AK$12:$AK$35&gt;$AI49))
) / 1000</f>
        <v>0</v>
      </c>
      <c r="CP49" s="46">
        <f t="shared" si="37"/>
        <v>0</v>
      </c>
      <c r="CQ49" s="20"/>
    </row>
    <row r="50" spans="1:95" s="95" customFormat="1" ht="14.25" customHeight="1" x14ac:dyDescent="0.25">
      <c r="A50" s="36" t="b">
        <f t="shared" si="38"/>
        <v>0</v>
      </c>
      <c r="B50" s="94">
        <v>39</v>
      </c>
      <c r="C50" s="7"/>
      <c r="D50" s="7"/>
      <c r="E50" s="33"/>
      <c r="F50" s="8" t="str">
        <f>IF(ISBLANK(E50), "", VLOOKUP(E50, Z!$A$2:$C$4127, 3, FALSE))</f>
        <v/>
      </c>
      <c r="G50" s="44"/>
      <c r="H50" s="44"/>
      <c r="I50" s="107"/>
      <c r="J50" s="108"/>
      <c r="K50" s="34"/>
      <c r="L50" s="59"/>
      <c r="M50" s="58" t="str" cm="1">
        <f t="array" ref="M50">IF($K50&gt;0, INDEX(Clean,1+AG50,$B$1), "")</f>
        <v/>
      </c>
      <c r="N50" s="62"/>
      <c r="O50" s="62"/>
      <c r="P50" s="63"/>
      <c r="Q50" s="52">
        <f t="shared" si="7"/>
        <v>0</v>
      </c>
      <c r="R50" s="58" t="str" cm="1">
        <f t="array" ref="R50">IF($K50&gt;0, INDEX(Clean,1+AH50,$B$1), "")</f>
        <v/>
      </c>
      <c r="S50" s="62"/>
      <c r="T50" s="62"/>
      <c r="U50" s="63"/>
      <c r="V50" s="52">
        <f t="shared" si="8"/>
        <v>0</v>
      </c>
      <c r="W50" s="6"/>
      <c r="X50" s="7"/>
      <c r="Y50" s="33"/>
      <c r="Z50" s="8" t="str">
        <f>IF(ISBLANK(Y50), "", VLOOKUP(Y50, Z!$A$2:$C$4127, 3, FALSE))</f>
        <v/>
      </c>
      <c r="AA50" s="38"/>
      <c r="AB50" s="9">
        <f t="shared" si="39"/>
        <v>0</v>
      </c>
      <c r="AC50" s="20"/>
      <c r="AD50" s="41">
        <f t="shared" si="40"/>
        <v>1</v>
      </c>
      <c r="AE50" s="41">
        <f t="shared" si="41"/>
        <v>1</v>
      </c>
      <c r="AF50" s="41">
        <f t="shared" si="42"/>
        <v>0</v>
      </c>
      <c r="AG50" s="41">
        <v>1</v>
      </c>
      <c r="AH50" s="41">
        <v>0</v>
      </c>
      <c r="AI50" s="41">
        <f t="shared" si="43"/>
        <v>-100</v>
      </c>
      <c r="AJ50" s="20"/>
      <c r="AK50" s="41">
        <v>19</v>
      </c>
      <c r="AL50" s="50">
        <v>344</v>
      </c>
      <c r="AM50" s="50">
        <v>240</v>
      </c>
      <c r="AN50" s="50">
        <v>238</v>
      </c>
      <c r="AO50" s="48">
        <f t="shared" si="6"/>
        <v>0</v>
      </c>
      <c r="AP50" s="48">
        <f t="shared" si="6"/>
        <v>0</v>
      </c>
      <c r="AQ50" s="48" cm="1">
        <f t="array" ref="AQ50">MIN(INDEX(Use,AQ$10,5) + MAX(0, (1-INDEX(Use,AQ$10,5))*($AK50-5)/(35-5)), 1)</f>
        <v>0.68</v>
      </c>
      <c r="AR50" s="48" cm="1">
        <f t="array" ref="AR50">MIN(INDEX(Use,AR$10,5) + MAX(0, (1-INDEX(Use,AR$10,5))*($AK50-5)/(35-5)), 1)</f>
        <v>0.78666666666666663</v>
      </c>
      <c r="AS50" s="48" cm="1">
        <f t="array" ref="AS50">MIN(INDEX(Use,AS$10,5) + MAX(0, (1-INDEX(Use,AS$10,5))*($AK50-5)/(35-5)), 1)</f>
        <v>0.89333333333333331</v>
      </c>
      <c r="AT50" s="48" cm="1">
        <f t="array" ref="AT50">MIN(INDEX(Use,AT$10,5) + MAX(0, (1-INDEX(Use,AT$10,5))*($AK50-5)/(35-5)), 1)</f>
        <v>0.89333333333333331</v>
      </c>
      <c r="AU50" s="48" cm="1">
        <f t="array" ref="AU50">MIN(INDEX(Use,AU$10,5) + MAX(0, (1-INDEX(Use,AU$10,5))*($AK50-5)/(35-5)), 1)</f>
        <v>0.89333333333333331</v>
      </c>
      <c r="AV50" s="48">
        <v>1</v>
      </c>
      <c r="AW50" s="48">
        <v>0.6</v>
      </c>
      <c r="AX50" s="15"/>
      <c r="AY50" s="41" cm="1">
        <f t="array" ref="AY50">INDEX(Use, $AD50, 4)</f>
        <v>7</v>
      </c>
      <c r="AZ50" s="41">
        <f t="shared" si="9"/>
        <v>32</v>
      </c>
      <c r="BA50" s="41">
        <f t="shared" si="10"/>
        <v>13</v>
      </c>
      <c r="BB50" s="41">
        <f t="shared" si="11"/>
        <v>0</v>
      </c>
      <c r="BC50" s="57" cm="1">
        <f t="array" ref="BC50">K50/IF($L50&gt;0, INDEX($AO$12:$AU$66, $L50+20, $AD50), 1)</f>
        <v>0</v>
      </c>
      <c r="BD50" s="46">
        <f t="shared" si="12"/>
        <v>0</v>
      </c>
      <c r="BE50" s="41">
        <v>35</v>
      </c>
      <c r="BF50" s="46">
        <f t="shared" si="13"/>
        <v>52.55</v>
      </c>
      <c r="BG50" s="49">
        <f t="shared" si="14"/>
        <v>2.7676728869374316</v>
      </c>
      <c r="BH50" s="49" cm="1">
        <f t="array" ref="BH50">$BC50 * SUMPRODUCT(INDEX($AL$66:$AN$71,,$AE50),INDEX($AO$66:$AU$71,,$AD50), N($AK$66:$AK$71&gt;$AI50)) / BG50 / 1000</f>
        <v>0</v>
      </c>
      <c r="BI50" s="50">
        <f t="shared" si="15"/>
        <v>30</v>
      </c>
      <c r="BJ50" s="46">
        <f t="shared" si="16"/>
        <v>46.033333333333331</v>
      </c>
      <c r="BK50" s="49">
        <f t="shared" si="17"/>
        <v>3.2297395388556791</v>
      </c>
      <c r="BL50" s="49" cm="1">
        <f t="array" ref="BL50">$BC50 * IF($AD50&lt;=2,
SUMPRODUCT(INDEX($AL$61:$AN$65,,$AE50), INDEX($AO$61:$AU$65,,$AD50), 1 / ($AV$61:$AV$65*BK50 + (1-$AV$61:$AV$65)*BG50), N($AK$61:$AK$65&gt;$AI50)),
SUMPRODUCT(INDEX($AL$56:$AN$65,,$AE50), INDEX($AO$56:$AU$65,,$AD50), 1 / ($AW$56:$AW$65*BK50 + (1-$AW$56:$AW$65)*BG50), N($AK$56:$AK$65&gt;$AI50))
) / 1000</f>
        <v>0</v>
      </c>
      <c r="BM50" s="50">
        <f t="shared" si="18"/>
        <v>25</v>
      </c>
      <c r="BN50" s="46">
        <f t="shared" si="19"/>
        <v>39.516666666666666</v>
      </c>
      <c r="BO50" s="49">
        <f t="shared" si="20"/>
        <v>3.877011788826243</v>
      </c>
      <c r="BP50" s="49" cm="1">
        <f t="array" ref="BP50">$BC50 * IF($AD50&lt;=2,
SUMPRODUCT(INDEX($AL$56:$AN$60,,$AE50), INDEX($AO$56:$AU$60,,$AD50), 1 / ($AV$56:$AV$60*BO50 + (1-$AV$56:$AV$60)*BK50), N($AK$56:$AK$60&gt;$AI50)),
SUMPRODUCT(INDEX($AL$46:$AN$55,,$AE50), INDEX($AO$46:$AU$55,,$AD50), 1 / ($AW$46:$AW$55*BO50 + (1-$AW$46:$AW$55)*BK50), N($AK$46:$AK$55&gt;$AI50))
) / 1000</f>
        <v>0</v>
      </c>
      <c r="BQ50" s="50">
        <f t="shared" si="21"/>
        <v>20</v>
      </c>
      <c r="BR50" s="46">
        <f t="shared" si="22"/>
        <v>33</v>
      </c>
      <c r="BS50" s="49">
        <f t="shared" si="23"/>
        <v>4.8487499999999999</v>
      </c>
      <c r="BT50" s="49" cm="1">
        <f t="array" ref="BT50">$BC50 * IF($AD50&lt;=2,
SUMPRODUCT(INDEX($AL$51:$AN$55,,$AE50), INDEX($AO$51:$AU$55,,$AD50), 1 / ($AV$51:$AV$55*BS50 + (1-$AV$51:$AV$55)*BO50), N($AK$51:$AK$55&gt;$AI50)),
SUMPRODUCT(INDEX($AL$36:$AN$45,,$AE50), INDEX($AO$36:$AU$45,,$AD50), 1 / ($AW$36:$AW$45*BS50 + (1-$AW$36:$AW$45)*BO50), N($AK$36:$AK$45&gt;$AI50))
) / 1000</f>
        <v>0</v>
      </c>
      <c r="BU50" s="49" cm="1">
        <f t="array" ref="BU50">$BC50 * IF($AD50&lt;=2,
SUMPRODUCT(INDEX($AL$12:$AN$50,,$AE50), INDEX($AO$12:$AU$50,,$AD50), 1 / ($AV$12:$AV$50*BS50), N($AK$12:$AK$50&gt;$AI50)),
SUMPRODUCT(INDEX($AL$12:$AN$35,,$AE50), INDEX($AO$12:$AU$35,,$AD50), 1 / ($AW$12:$AW$35*BS50), N($AK$12:$AK$35&gt;$AI50))
) / 1000</f>
        <v>0</v>
      </c>
      <c r="BV50" s="46">
        <f t="shared" si="24"/>
        <v>0</v>
      </c>
      <c r="BW50" s="20"/>
      <c r="BX50" s="46">
        <f t="shared" si="25"/>
        <v>0</v>
      </c>
      <c r="BY50" s="41">
        <v>35</v>
      </c>
      <c r="BZ50" s="46">
        <f t="shared" si="26"/>
        <v>48</v>
      </c>
      <c r="CA50" s="49">
        <f t="shared" si="27"/>
        <v>3.0748170731707316</v>
      </c>
      <c r="CB50" s="49" cm="1">
        <f t="array" ref="CB50">$BC50 * SUMPRODUCT(INDEX($AL$66:$AN$71,,$AE50),INDEX($AO$66:$AU$71,,$AD50), N($AK$66:$AK$71&gt;$AI50)) / CA50 / 1000</f>
        <v>0</v>
      </c>
      <c r="CC50" s="50">
        <f t="shared" si="28"/>
        <v>30</v>
      </c>
      <c r="CD50" s="46">
        <f t="shared" si="29"/>
        <v>43</v>
      </c>
      <c r="CE50" s="49">
        <f t="shared" si="30"/>
        <v>3.5018750000000001</v>
      </c>
      <c r="CF50" s="49" cm="1">
        <f t="array" ref="CF50">$BC50 * IF($AD50&lt;=2,
SUMPRODUCT(INDEX($AL$61:$AN$65,,$AE50), INDEX($AO$61:$AU$65,,$AD50), 1 / ($AV$61:$AV$65*CE50 + (1-$AV$61:$AV$65)*CA50), N($AK$61:$AK$65&gt;$AI50)),
SUMPRODUCT(INDEX($AL$56:$AN$65,,$AE50), INDEX($AO$56:$AU$65,,$AD50), 1 / ($AW$56:$AW$65*CE50 + (1-$AW$56:$AW$65)*CA50), N($AK$56:$AK$65&gt;$AI50))
) / 1000</f>
        <v>0</v>
      </c>
      <c r="CG50" s="50">
        <f t="shared" si="31"/>
        <v>25</v>
      </c>
      <c r="CH50" s="46">
        <f t="shared" si="32"/>
        <v>38</v>
      </c>
      <c r="CI50" s="49">
        <f t="shared" si="33"/>
        <v>4.0666935483870965</v>
      </c>
      <c r="CJ50" s="49" cm="1">
        <f t="array" ref="CJ50">$BC50 * IF($AD50&lt;=2,
SUMPRODUCT(INDEX($AL$56:$AN$60,,$AE50), INDEX($AO$56:$AU$60,,$AD50), 1 / ($AV$56:$AV$60*CI50 + (1-$AV$56:$AV$60)*CE50), N($AK$56:$AK$60&gt;$AI50)),
SUMPRODUCT(INDEX($AL$46:$AN$55,,$AE50), INDEX($AO$46:$AU$55,,$AD50), 1 / ($AW$46:$AW$55*CI50 + (1-$AW$46:$AW$55)*CE50), N($AK$46:$AK$55&gt;$AI50))
) / 1000</f>
        <v>0</v>
      </c>
      <c r="CK50" s="50">
        <f t="shared" si="34"/>
        <v>20</v>
      </c>
      <c r="CL50" s="46">
        <f t="shared" si="35"/>
        <v>33</v>
      </c>
      <c r="CM50" s="49">
        <f t="shared" si="36"/>
        <v>4.8487499999999999</v>
      </c>
      <c r="CN50" s="49" cm="1">
        <f t="array" ref="CN50">$BC50 * IF($AD50&lt;=2,
SUMPRODUCT(INDEX($AL$51:$AN$55,,$AE50), INDEX($AO$51:$AU$55,,$AD50), 1 / ($AV$51:$AV$55*CM50 + (1-$AV$51:$AV$55)*CI50), N($AK$51:$AK$55&gt;$AI50)),
SUMPRODUCT(INDEX($AL$36:$AN$45,,$AE50), INDEX($AO$36:$AU$45,,$AD50), 1 / ($AW$36:$AW$45*CM50 + (1-$AW$36:$AW$45)*CI50), N($AK$36:$AK$45&gt;$AI50))
) / 1000</f>
        <v>0</v>
      </c>
      <c r="CO50" s="49" cm="1">
        <f t="array" ref="CO50">$BC50 * IF($AD50&lt;=2,
SUMPRODUCT(INDEX($AL$12:$AN$50,,$AE50), INDEX($AO$12:$AU$50,,$AD50), 1 / ($AV$12:$AV$50*CM50), N($AK$12:$AK$50&gt;$AI50)),
SUMPRODUCT(INDEX($AL$12:$AN$35,,$AE50), INDEX($AO$12:$AU$35,,$AD50), 1 / ($AW$12:$AW$35*CM50), N($AK$12:$AK$35&gt;$AI50))
) / 1000</f>
        <v>0</v>
      </c>
      <c r="CP50" s="46">
        <f t="shared" si="37"/>
        <v>0</v>
      </c>
      <c r="CQ50" s="20"/>
    </row>
    <row r="51" spans="1:95" s="95" customFormat="1" ht="14.25" customHeight="1" x14ac:dyDescent="0.25">
      <c r="A51" s="36" t="b">
        <f t="shared" si="38"/>
        <v>0</v>
      </c>
      <c r="B51" s="94">
        <v>40</v>
      </c>
      <c r="C51" s="7"/>
      <c r="D51" s="7"/>
      <c r="E51" s="33"/>
      <c r="F51" s="8" t="str">
        <f>IF(ISBLANK(E51), "", VLOOKUP(E51, Z!$A$2:$C$4127, 3, FALSE))</f>
        <v/>
      </c>
      <c r="G51" s="44"/>
      <c r="H51" s="44"/>
      <c r="I51" s="107"/>
      <c r="J51" s="108"/>
      <c r="K51" s="34"/>
      <c r="L51" s="59"/>
      <c r="M51" s="58" t="str" cm="1">
        <f t="array" ref="M51">IF($K51&gt;0, INDEX(Clean,1+AG51,$B$1), "")</f>
        <v/>
      </c>
      <c r="N51" s="62"/>
      <c r="O51" s="62"/>
      <c r="P51" s="63"/>
      <c r="Q51" s="52">
        <f t="shared" si="7"/>
        <v>0</v>
      </c>
      <c r="R51" s="58" t="str" cm="1">
        <f t="array" ref="R51">IF($K51&gt;0, INDEX(Clean,1+AH51,$B$1), "")</f>
        <v/>
      </c>
      <c r="S51" s="62"/>
      <c r="T51" s="62"/>
      <c r="U51" s="63"/>
      <c r="V51" s="52">
        <f t="shared" si="8"/>
        <v>0</v>
      </c>
      <c r="W51" s="6"/>
      <c r="X51" s="7"/>
      <c r="Y51" s="33"/>
      <c r="Z51" s="8" t="str">
        <f>IF(ISBLANK(Y51), "", VLOOKUP(Y51, Z!$A$2:$C$4127, 3, FALSE))</f>
        <v/>
      </c>
      <c r="AA51" s="38"/>
      <c r="AB51" s="9">
        <f t="shared" si="39"/>
        <v>0</v>
      </c>
      <c r="AC51" s="20"/>
      <c r="AD51" s="41">
        <f t="shared" si="40"/>
        <v>1</v>
      </c>
      <c r="AE51" s="41">
        <f t="shared" si="41"/>
        <v>1</v>
      </c>
      <c r="AF51" s="41">
        <f t="shared" si="42"/>
        <v>0</v>
      </c>
      <c r="AG51" s="41">
        <v>1</v>
      </c>
      <c r="AH51" s="41">
        <v>0</v>
      </c>
      <c r="AI51" s="41">
        <f t="shared" si="43"/>
        <v>-100</v>
      </c>
      <c r="AJ51" s="20"/>
      <c r="AK51" s="41">
        <v>20</v>
      </c>
      <c r="AL51" s="50">
        <v>304</v>
      </c>
      <c r="AM51" s="50">
        <v>259</v>
      </c>
      <c r="AN51" s="50">
        <v>188</v>
      </c>
      <c r="AO51" s="48">
        <f t="shared" si="6"/>
        <v>6.25E-2</v>
      </c>
      <c r="AP51" s="48">
        <f t="shared" si="6"/>
        <v>6.25E-2</v>
      </c>
      <c r="AQ51" s="48" cm="1">
        <f t="array" ref="AQ51">MIN(INDEX(Use,AQ$10,5) + MAX(0, (1-INDEX(Use,AQ$10,5))*($AK51-5)/(35-5)), 1)</f>
        <v>0.7</v>
      </c>
      <c r="AR51" s="48" cm="1">
        <f t="array" ref="AR51">MIN(INDEX(Use,AR$10,5) + MAX(0, (1-INDEX(Use,AR$10,5))*($AK51-5)/(35-5)), 1)</f>
        <v>0.8</v>
      </c>
      <c r="AS51" s="48" cm="1">
        <f t="array" ref="AS51">MIN(INDEX(Use,AS$10,5) + MAX(0, (1-INDEX(Use,AS$10,5))*($AK51-5)/(35-5)), 1)</f>
        <v>0.9</v>
      </c>
      <c r="AT51" s="48" cm="1">
        <f t="array" ref="AT51">MIN(INDEX(Use,AT$10,5) + MAX(0, (1-INDEX(Use,AT$10,5))*($AK51-5)/(35-5)), 1)</f>
        <v>0.9</v>
      </c>
      <c r="AU51" s="48" cm="1">
        <f t="array" ref="AU51">MIN(INDEX(Use,AU$10,5) + MAX(0, (1-INDEX(Use,AU$10,5))*($AK51-5)/(35-5)), 1)</f>
        <v>0.9</v>
      </c>
      <c r="AV51" s="48">
        <v>1</v>
      </c>
      <c r="AW51" s="48">
        <v>0.5</v>
      </c>
      <c r="AX51" s="15"/>
      <c r="AY51" s="41" cm="1">
        <f t="array" ref="AY51">INDEX(Use, $AD51, 4)</f>
        <v>7</v>
      </c>
      <c r="AZ51" s="41">
        <f t="shared" si="9"/>
        <v>32</v>
      </c>
      <c r="BA51" s="41">
        <f t="shared" si="10"/>
        <v>13</v>
      </c>
      <c r="BB51" s="41">
        <f t="shared" si="11"/>
        <v>0</v>
      </c>
      <c r="BC51" s="57" cm="1">
        <f t="array" ref="BC51">K51/IF($L51&gt;0, INDEX($AO$12:$AU$66, $L51+20, $AD51), 1)</f>
        <v>0</v>
      </c>
      <c r="BD51" s="46">
        <f t="shared" si="12"/>
        <v>0</v>
      </c>
      <c r="BE51" s="41">
        <v>35</v>
      </c>
      <c r="BF51" s="46">
        <f t="shared" si="13"/>
        <v>52.55</v>
      </c>
      <c r="BG51" s="49">
        <f t="shared" si="14"/>
        <v>2.7676728869374316</v>
      </c>
      <c r="BH51" s="49" cm="1">
        <f t="array" ref="BH51">$BC51 * SUMPRODUCT(INDEX($AL$66:$AN$71,,$AE51),INDEX($AO$66:$AU$71,,$AD51), N($AK$66:$AK$71&gt;$AI51)) / BG51 / 1000</f>
        <v>0</v>
      </c>
      <c r="BI51" s="50">
        <f t="shared" si="15"/>
        <v>30</v>
      </c>
      <c r="BJ51" s="46">
        <f t="shared" si="16"/>
        <v>46.033333333333331</v>
      </c>
      <c r="BK51" s="49">
        <f t="shared" si="17"/>
        <v>3.2297395388556791</v>
      </c>
      <c r="BL51" s="49" cm="1">
        <f t="array" ref="BL51">$BC51 * IF($AD51&lt;=2,
SUMPRODUCT(INDEX($AL$61:$AN$65,,$AE51), INDEX($AO$61:$AU$65,,$AD51), 1 / ($AV$61:$AV$65*BK51 + (1-$AV$61:$AV$65)*BG51), N($AK$61:$AK$65&gt;$AI51)),
SUMPRODUCT(INDEX($AL$56:$AN$65,,$AE51), INDEX($AO$56:$AU$65,,$AD51), 1 / ($AW$56:$AW$65*BK51 + (1-$AW$56:$AW$65)*BG51), N($AK$56:$AK$65&gt;$AI51))
) / 1000</f>
        <v>0</v>
      </c>
      <c r="BM51" s="50">
        <f t="shared" si="18"/>
        <v>25</v>
      </c>
      <c r="BN51" s="46">
        <f t="shared" si="19"/>
        <v>39.516666666666666</v>
      </c>
      <c r="BO51" s="49">
        <f t="shared" si="20"/>
        <v>3.877011788826243</v>
      </c>
      <c r="BP51" s="49" cm="1">
        <f t="array" ref="BP51">$BC51 * IF($AD51&lt;=2,
SUMPRODUCT(INDEX($AL$56:$AN$60,,$AE51), INDEX($AO$56:$AU$60,,$AD51), 1 / ($AV$56:$AV$60*BO51 + (1-$AV$56:$AV$60)*BK51), N($AK$56:$AK$60&gt;$AI51)),
SUMPRODUCT(INDEX($AL$46:$AN$55,,$AE51), INDEX($AO$46:$AU$55,,$AD51), 1 / ($AW$46:$AW$55*BO51 + (1-$AW$46:$AW$55)*BK51), N($AK$46:$AK$55&gt;$AI51))
) / 1000</f>
        <v>0</v>
      </c>
      <c r="BQ51" s="50">
        <f t="shared" si="21"/>
        <v>20</v>
      </c>
      <c r="BR51" s="46">
        <f t="shared" si="22"/>
        <v>33</v>
      </c>
      <c r="BS51" s="49">
        <f t="shared" si="23"/>
        <v>4.8487499999999999</v>
      </c>
      <c r="BT51" s="49" cm="1">
        <f t="array" ref="BT51">$BC51 * IF($AD51&lt;=2,
SUMPRODUCT(INDEX($AL$51:$AN$55,,$AE51), INDEX($AO$51:$AU$55,,$AD51), 1 / ($AV$51:$AV$55*BS51 + (1-$AV$51:$AV$55)*BO51), N($AK$51:$AK$55&gt;$AI51)),
SUMPRODUCT(INDEX($AL$36:$AN$45,,$AE51), INDEX($AO$36:$AU$45,,$AD51), 1 / ($AW$36:$AW$45*BS51 + (1-$AW$36:$AW$45)*BO51), N($AK$36:$AK$45&gt;$AI51))
) / 1000</f>
        <v>0</v>
      </c>
      <c r="BU51" s="49" cm="1">
        <f t="array" ref="BU51">$BC51 * IF($AD51&lt;=2,
SUMPRODUCT(INDEX($AL$12:$AN$50,,$AE51), INDEX($AO$12:$AU$50,,$AD51), 1 / ($AV$12:$AV$50*BS51), N($AK$12:$AK$50&gt;$AI51)),
SUMPRODUCT(INDEX($AL$12:$AN$35,,$AE51), INDEX($AO$12:$AU$35,,$AD51), 1 / ($AW$12:$AW$35*BS51), N($AK$12:$AK$35&gt;$AI51))
) / 1000</f>
        <v>0</v>
      </c>
      <c r="BV51" s="46">
        <f t="shared" si="24"/>
        <v>0</v>
      </c>
      <c r="BW51" s="20"/>
      <c r="BX51" s="46">
        <f t="shared" si="25"/>
        <v>0</v>
      </c>
      <c r="BY51" s="41">
        <v>35</v>
      </c>
      <c r="BZ51" s="46">
        <f t="shared" si="26"/>
        <v>48</v>
      </c>
      <c r="CA51" s="49">
        <f t="shared" si="27"/>
        <v>3.0748170731707316</v>
      </c>
      <c r="CB51" s="49" cm="1">
        <f t="array" ref="CB51">$BC51 * SUMPRODUCT(INDEX($AL$66:$AN$71,,$AE51),INDEX($AO$66:$AU$71,,$AD51), N($AK$66:$AK$71&gt;$AI51)) / CA51 / 1000</f>
        <v>0</v>
      </c>
      <c r="CC51" s="50">
        <f t="shared" si="28"/>
        <v>30</v>
      </c>
      <c r="CD51" s="46">
        <f t="shared" si="29"/>
        <v>43</v>
      </c>
      <c r="CE51" s="49">
        <f t="shared" si="30"/>
        <v>3.5018750000000001</v>
      </c>
      <c r="CF51" s="49" cm="1">
        <f t="array" ref="CF51">$BC51 * IF($AD51&lt;=2,
SUMPRODUCT(INDEX($AL$61:$AN$65,,$AE51), INDEX($AO$61:$AU$65,,$AD51), 1 / ($AV$61:$AV$65*CE51 + (1-$AV$61:$AV$65)*CA51), N($AK$61:$AK$65&gt;$AI51)),
SUMPRODUCT(INDEX($AL$56:$AN$65,,$AE51), INDEX($AO$56:$AU$65,,$AD51), 1 / ($AW$56:$AW$65*CE51 + (1-$AW$56:$AW$65)*CA51), N($AK$56:$AK$65&gt;$AI51))
) / 1000</f>
        <v>0</v>
      </c>
      <c r="CG51" s="50">
        <f t="shared" si="31"/>
        <v>25</v>
      </c>
      <c r="CH51" s="46">
        <f t="shared" si="32"/>
        <v>38</v>
      </c>
      <c r="CI51" s="49">
        <f t="shared" si="33"/>
        <v>4.0666935483870965</v>
      </c>
      <c r="CJ51" s="49" cm="1">
        <f t="array" ref="CJ51">$BC51 * IF($AD51&lt;=2,
SUMPRODUCT(INDEX($AL$56:$AN$60,,$AE51), INDEX($AO$56:$AU$60,,$AD51), 1 / ($AV$56:$AV$60*CI51 + (1-$AV$56:$AV$60)*CE51), N($AK$56:$AK$60&gt;$AI51)),
SUMPRODUCT(INDEX($AL$46:$AN$55,,$AE51), INDEX($AO$46:$AU$55,,$AD51), 1 / ($AW$46:$AW$55*CI51 + (1-$AW$46:$AW$55)*CE51), N($AK$46:$AK$55&gt;$AI51))
) / 1000</f>
        <v>0</v>
      </c>
      <c r="CK51" s="50">
        <f t="shared" si="34"/>
        <v>20</v>
      </c>
      <c r="CL51" s="46">
        <f t="shared" si="35"/>
        <v>33</v>
      </c>
      <c r="CM51" s="49">
        <f t="shared" si="36"/>
        <v>4.8487499999999999</v>
      </c>
      <c r="CN51" s="49" cm="1">
        <f t="array" ref="CN51">$BC51 * IF($AD51&lt;=2,
SUMPRODUCT(INDEX($AL$51:$AN$55,,$AE51), INDEX($AO$51:$AU$55,,$AD51), 1 / ($AV$51:$AV$55*CM51 + (1-$AV$51:$AV$55)*CI51), N($AK$51:$AK$55&gt;$AI51)),
SUMPRODUCT(INDEX($AL$36:$AN$45,,$AE51), INDEX($AO$36:$AU$45,,$AD51), 1 / ($AW$36:$AW$45*CM51 + (1-$AW$36:$AW$45)*CI51), N($AK$36:$AK$45&gt;$AI51))
) / 1000</f>
        <v>0</v>
      </c>
      <c r="CO51" s="49" cm="1">
        <f t="array" ref="CO51">$BC51 * IF($AD51&lt;=2,
SUMPRODUCT(INDEX($AL$12:$AN$50,,$AE51), INDEX($AO$12:$AU$50,,$AD51), 1 / ($AV$12:$AV$50*CM51), N($AK$12:$AK$50&gt;$AI51)),
SUMPRODUCT(INDEX($AL$12:$AN$35,,$AE51), INDEX($AO$12:$AU$35,,$AD51), 1 / ($AW$12:$AW$35*CM51), N($AK$12:$AK$35&gt;$AI51))
) / 1000</f>
        <v>0</v>
      </c>
      <c r="CP51" s="46">
        <f t="shared" si="37"/>
        <v>0</v>
      </c>
      <c r="CQ51" s="20"/>
    </row>
    <row r="52" spans="1:95" s="95" customFormat="1" ht="14.25" customHeight="1" x14ac:dyDescent="0.25">
      <c r="A52" s="36" t="b">
        <f t="shared" si="38"/>
        <v>0</v>
      </c>
      <c r="B52" s="94">
        <v>41</v>
      </c>
      <c r="C52" s="7"/>
      <c r="D52" s="7"/>
      <c r="E52" s="33"/>
      <c r="F52" s="8" t="str">
        <f>IF(ISBLANK(E52), "", VLOOKUP(E52, Z!$A$2:$C$4127, 3, FALSE))</f>
        <v/>
      </c>
      <c r="G52" s="44"/>
      <c r="H52" s="44"/>
      <c r="I52" s="107"/>
      <c r="J52" s="108"/>
      <c r="K52" s="34"/>
      <c r="L52" s="59"/>
      <c r="M52" s="58" t="str" cm="1">
        <f t="array" ref="M52">IF($K52&gt;0, INDEX(Clean,1+AG52,$B$1), "")</f>
        <v/>
      </c>
      <c r="N52" s="62"/>
      <c r="O52" s="62"/>
      <c r="P52" s="63"/>
      <c r="Q52" s="52">
        <f t="shared" si="7"/>
        <v>0</v>
      </c>
      <c r="R52" s="58" t="str" cm="1">
        <f t="array" ref="R52">IF($K52&gt;0, INDEX(Clean,1+AH52,$B$1), "")</f>
        <v/>
      </c>
      <c r="S52" s="62"/>
      <c r="T52" s="62"/>
      <c r="U52" s="63"/>
      <c r="V52" s="52">
        <f t="shared" si="8"/>
        <v>0</v>
      </c>
      <c r="W52" s="6"/>
      <c r="X52" s="7"/>
      <c r="Y52" s="33"/>
      <c r="Z52" s="8" t="str">
        <f>IF(ISBLANK(Y52), "", VLOOKUP(Y52, Z!$A$2:$C$4127, 3, FALSE))</f>
        <v/>
      </c>
      <c r="AA52" s="38"/>
      <c r="AB52" s="9">
        <f t="shared" si="39"/>
        <v>0</v>
      </c>
      <c r="AC52" s="20"/>
      <c r="AD52" s="41">
        <f t="shared" si="40"/>
        <v>1</v>
      </c>
      <c r="AE52" s="41">
        <f t="shared" si="41"/>
        <v>1</v>
      </c>
      <c r="AF52" s="41">
        <f t="shared" si="42"/>
        <v>0</v>
      </c>
      <c r="AG52" s="41">
        <v>1</v>
      </c>
      <c r="AH52" s="41">
        <v>0</v>
      </c>
      <c r="AI52" s="41">
        <f t="shared" si="43"/>
        <v>-100</v>
      </c>
      <c r="AJ52" s="20"/>
      <c r="AK52" s="41">
        <v>21</v>
      </c>
      <c r="AL52" s="50">
        <v>295</v>
      </c>
      <c r="AM52" s="50">
        <v>198</v>
      </c>
      <c r="AN52" s="50">
        <v>146</v>
      </c>
      <c r="AO52" s="48">
        <f t="shared" si="6"/>
        <v>0.125</v>
      </c>
      <c r="AP52" s="48">
        <f t="shared" si="6"/>
        <v>0.125</v>
      </c>
      <c r="AQ52" s="48" cm="1">
        <f t="array" ref="AQ52">MIN(INDEX(Use,AQ$10,5) + MAX(0, (1-INDEX(Use,AQ$10,5))*($AK52-5)/(35-5)), 1)</f>
        <v>0.72</v>
      </c>
      <c r="AR52" s="48" cm="1">
        <f t="array" ref="AR52">MIN(INDEX(Use,AR$10,5) + MAX(0, (1-INDEX(Use,AR$10,5))*($AK52-5)/(35-5)), 1)</f>
        <v>0.81333333333333335</v>
      </c>
      <c r="AS52" s="48" cm="1">
        <f t="array" ref="AS52">MIN(INDEX(Use,AS$10,5) + MAX(0, (1-INDEX(Use,AS$10,5))*($AK52-5)/(35-5)), 1)</f>
        <v>0.90666666666666673</v>
      </c>
      <c r="AT52" s="48" cm="1">
        <f t="array" ref="AT52">MIN(INDEX(Use,AT$10,5) + MAX(0, (1-INDEX(Use,AT$10,5))*($AK52-5)/(35-5)), 1)</f>
        <v>0.90666666666666673</v>
      </c>
      <c r="AU52" s="48" cm="1">
        <f t="array" ref="AU52">MIN(INDEX(Use,AU$10,5) + MAX(0, (1-INDEX(Use,AU$10,5))*($AK52-5)/(35-5)), 1)</f>
        <v>0.90666666666666673</v>
      </c>
      <c r="AV52" s="48">
        <v>0.8</v>
      </c>
      <c r="AW52" s="48">
        <v>0.4</v>
      </c>
      <c r="AX52" s="15"/>
      <c r="AY52" s="41" cm="1">
        <f t="array" ref="AY52">INDEX(Use, $AD52, 4)</f>
        <v>7</v>
      </c>
      <c r="AZ52" s="41">
        <f t="shared" si="9"/>
        <v>32</v>
      </c>
      <c r="BA52" s="41">
        <f t="shared" si="10"/>
        <v>13</v>
      </c>
      <c r="BB52" s="41">
        <f t="shared" si="11"/>
        <v>0</v>
      </c>
      <c r="BC52" s="57" cm="1">
        <f t="array" ref="BC52">K52/IF($L52&gt;0, INDEX($AO$12:$AU$66, $L52+20, $AD52), 1)</f>
        <v>0</v>
      </c>
      <c r="BD52" s="46">
        <f t="shared" si="12"/>
        <v>0</v>
      </c>
      <c r="BE52" s="41">
        <v>35</v>
      </c>
      <c r="BF52" s="46">
        <f t="shared" si="13"/>
        <v>52.55</v>
      </c>
      <c r="BG52" s="49">
        <f t="shared" si="14"/>
        <v>2.7676728869374316</v>
      </c>
      <c r="BH52" s="49" cm="1">
        <f t="array" ref="BH52">$BC52 * SUMPRODUCT(INDEX($AL$66:$AN$71,,$AE52),INDEX($AO$66:$AU$71,,$AD52), N($AK$66:$AK$71&gt;$AI52)) / BG52 / 1000</f>
        <v>0</v>
      </c>
      <c r="BI52" s="50">
        <f t="shared" si="15"/>
        <v>30</v>
      </c>
      <c r="BJ52" s="46">
        <f t="shared" si="16"/>
        <v>46.033333333333331</v>
      </c>
      <c r="BK52" s="49">
        <f t="shared" si="17"/>
        <v>3.2297395388556791</v>
      </c>
      <c r="BL52" s="49" cm="1">
        <f t="array" ref="BL52">$BC52 * IF($AD52&lt;=2,
SUMPRODUCT(INDEX($AL$61:$AN$65,,$AE52), INDEX($AO$61:$AU$65,,$AD52), 1 / ($AV$61:$AV$65*BK52 + (1-$AV$61:$AV$65)*BG52), N($AK$61:$AK$65&gt;$AI52)),
SUMPRODUCT(INDEX($AL$56:$AN$65,,$AE52), INDEX($AO$56:$AU$65,,$AD52), 1 / ($AW$56:$AW$65*BK52 + (1-$AW$56:$AW$65)*BG52), N($AK$56:$AK$65&gt;$AI52))
) / 1000</f>
        <v>0</v>
      </c>
      <c r="BM52" s="50">
        <f t="shared" si="18"/>
        <v>25</v>
      </c>
      <c r="BN52" s="46">
        <f t="shared" si="19"/>
        <v>39.516666666666666</v>
      </c>
      <c r="BO52" s="49">
        <f t="shared" si="20"/>
        <v>3.877011788826243</v>
      </c>
      <c r="BP52" s="49" cm="1">
        <f t="array" ref="BP52">$BC52 * IF($AD52&lt;=2,
SUMPRODUCT(INDEX($AL$56:$AN$60,,$AE52), INDEX($AO$56:$AU$60,,$AD52), 1 / ($AV$56:$AV$60*BO52 + (1-$AV$56:$AV$60)*BK52), N($AK$56:$AK$60&gt;$AI52)),
SUMPRODUCT(INDEX($AL$46:$AN$55,,$AE52), INDEX($AO$46:$AU$55,,$AD52), 1 / ($AW$46:$AW$55*BO52 + (1-$AW$46:$AW$55)*BK52), N($AK$46:$AK$55&gt;$AI52))
) / 1000</f>
        <v>0</v>
      </c>
      <c r="BQ52" s="50">
        <f t="shared" si="21"/>
        <v>20</v>
      </c>
      <c r="BR52" s="46">
        <f t="shared" si="22"/>
        <v>33</v>
      </c>
      <c r="BS52" s="49">
        <f t="shared" si="23"/>
        <v>4.8487499999999999</v>
      </c>
      <c r="BT52" s="49" cm="1">
        <f t="array" ref="BT52">$BC52 * IF($AD52&lt;=2,
SUMPRODUCT(INDEX($AL$51:$AN$55,,$AE52), INDEX($AO$51:$AU$55,,$AD52), 1 / ($AV$51:$AV$55*BS52 + (1-$AV$51:$AV$55)*BO52), N($AK$51:$AK$55&gt;$AI52)),
SUMPRODUCT(INDEX($AL$36:$AN$45,,$AE52), INDEX($AO$36:$AU$45,,$AD52), 1 / ($AW$36:$AW$45*BS52 + (1-$AW$36:$AW$45)*BO52), N($AK$36:$AK$45&gt;$AI52))
) / 1000</f>
        <v>0</v>
      </c>
      <c r="BU52" s="49" cm="1">
        <f t="array" ref="BU52">$BC52 * IF($AD52&lt;=2,
SUMPRODUCT(INDEX($AL$12:$AN$50,,$AE52), INDEX($AO$12:$AU$50,,$AD52), 1 / ($AV$12:$AV$50*BS52), N($AK$12:$AK$50&gt;$AI52)),
SUMPRODUCT(INDEX($AL$12:$AN$35,,$AE52), INDEX($AO$12:$AU$35,,$AD52), 1 / ($AW$12:$AW$35*BS52), N($AK$12:$AK$35&gt;$AI52))
) / 1000</f>
        <v>0</v>
      </c>
      <c r="BV52" s="46">
        <f t="shared" si="24"/>
        <v>0</v>
      </c>
      <c r="BW52" s="20"/>
      <c r="BX52" s="46">
        <f t="shared" si="25"/>
        <v>0</v>
      </c>
      <c r="BY52" s="41">
        <v>35</v>
      </c>
      <c r="BZ52" s="46">
        <f t="shared" si="26"/>
        <v>48</v>
      </c>
      <c r="CA52" s="49">
        <f t="shared" si="27"/>
        <v>3.0748170731707316</v>
      </c>
      <c r="CB52" s="49" cm="1">
        <f t="array" ref="CB52">$BC52 * SUMPRODUCT(INDEX($AL$66:$AN$71,,$AE52),INDEX($AO$66:$AU$71,,$AD52), N($AK$66:$AK$71&gt;$AI52)) / CA52 / 1000</f>
        <v>0</v>
      </c>
      <c r="CC52" s="50">
        <f t="shared" si="28"/>
        <v>30</v>
      </c>
      <c r="CD52" s="46">
        <f t="shared" si="29"/>
        <v>43</v>
      </c>
      <c r="CE52" s="49">
        <f t="shared" si="30"/>
        <v>3.5018750000000001</v>
      </c>
      <c r="CF52" s="49" cm="1">
        <f t="array" ref="CF52">$BC52 * IF($AD52&lt;=2,
SUMPRODUCT(INDEX($AL$61:$AN$65,,$AE52), INDEX($AO$61:$AU$65,,$AD52), 1 / ($AV$61:$AV$65*CE52 + (1-$AV$61:$AV$65)*CA52), N($AK$61:$AK$65&gt;$AI52)),
SUMPRODUCT(INDEX($AL$56:$AN$65,,$AE52), INDEX($AO$56:$AU$65,,$AD52), 1 / ($AW$56:$AW$65*CE52 + (1-$AW$56:$AW$65)*CA52), N($AK$56:$AK$65&gt;$AI52))
) / 1000</f>
        <v>0</v>
      </c>
      <c r="CG52" s="50">
        <f t="shared" si="31"/>
        <v>25</v>
      </c>
      <c r="CH52" s="46">
        <f t="shared" si="32"/>
        <v>38</v>
      </c>
      <c r="CI52" s="49">
        <f t="shared" si="33"/>
        <v>4.0666935483870965</v>
      </c>
      <c r="CJ52" s="49" cm="1">
        <f t="array" ref="CJ52">$BC52 * IF($AD52&lt;=2,
SUMPRODUCT(INDEX($AL$56:$AN$60,,$AE52), INDEX($AO$56:$AU$60,,$AD52), 1 / ($AV$56:$AV$60*CI52 + (1-$AV$56:$AV$60)*CE52), N($AK$56:$AK$60&gt;$AI52)),
SUMPRODUCT(INDEX($AL$46:$AN$55,,$AE52), INDEX($AO$46:$AU$55,,$AD52), 1 / ($AW$46:$AW$55*CI52 + (1-$AW$46:$AW$55)*CE52), N($AK$46:$AK$55&gt;$AI52))
) / 1000</f>
        <v>0</v>
      </c>
      <c r="CK52" s="50">
        <f t="shared" si="34"/>
        <v>20</v>
      </c>
      <c r="CL52" s="46">
        <f t="shared" si="35"/>
        <v>33</v>
      </c>
      <c r="CM52" s="49">
        <f t="shared" si="36"/>
        <v>4.8487499999999999</v>
      </c>
      <c r="CN52" s="49" cm="1">
        <f t="array" ref="CN52">$BC52 * IF($AD52&lt;=2,
SUMPRODUCT(INDEX($AL$51:$AN$55,,$AE52), INDEX($AO$51:$AU$55,,$AD52), 1 / ($AV$51:$AV$55*CM52 + (1-$AV$51:$AV$55)*CI52), N($AK$51:$AK$55&gt;$AI52)),
SUMPRODUCT(INDEX($AL$36:$AN$45,,$AE52), INDEX($AO$36:$AU$45,,$AD52), 1 / ($AW$36:$AW$45*CM52 + (1-$AW$36:$AW$45)*CI52), N($AK$36:$AK$45&gt;$AI52))
) / 1000</f>
        <v>0</v>
      </c>
      <c r="CO52" s="49" cm="1">
        <f t="array" ref="CO52">$BC52 * IF($AD52&lt;=2,
SUMPRODUCT(INDEX($AL$12:$AN$50,,$AE52), INDEX($AO$12:$AU$50,,$AD52), 1 / ($AV$12:$AV$50*CM52), N($AK$12:$AK$50&gt;$AI52)),
SUMPRODUCT(INDEX($AL$12:$AN$35,,$AE52), INDEX($AO$12:$AU$35,,$AD52), 1 / ($AW$12:$AW$35*CM52), N($AK$12:$AK$35&gt;$AI52))
) / 1000</f>
        <v>0</v>
      </c>
      <c r="CP52" s="46">
        <f t="shared" si="37"/>
        <v>0</v>
      </c>
      <c r="CQ52" s="20"/>
    </row>
    <row r="53" spans="1:95" s="95" customFormat="1" ht="14.25" customHeight="1" x14ac:dyDescent="0.25">
      <c r="A53" s="36" t="b">
        <f t="shared" si="38"/>
        <v>0</v>
      </c>
      <c r="B53" s="94">
        <v>42</v>
      </c>
      <c r="C53" s="7"/>
      <c r="D53" s="7"/>
      <c r="E53" s="33"/>
      <c r="F53" s="8" t="str">
        <f>IF(ISBLANK(E53), "", VLOOKUP(E53, Z!$A$2:$C$4127, 3, FALSE))</f>
        <v/>
      </c>
      <c r="G53" s="44"/>
      <c r="H53" s="44"/>
      <c r="I53" s="107"/>
      <c r="J53" s="108"/>
      <c r="K53" s="34"/>
      <c r="L53" s="59"/>
      <c r="M53" s="58" t="str" cm="1">
        <f t="array" ref="M53">IF($K53&gt;0, INDEX(Clean,1+AG53,$B$1), "")</f>
        <v/>
      </c>
      <c r="N53" s="62"/>
      <c r="O53" s="62"/>
      <c r="P53" s="63"/>
      <c r="Q53" s="52">
        <f t="shared" si="7"/>
        <v>0</v>
      </c>
      <c r="R53" s="58" t="str" cm="1">
        <f t="array" ref="R53">IF($K53&gt;0, INDEX(Clean,1+AH53,$B$1), "")</f>
        <v/>
      </c>
      <c r="S53" s="62"/>
      <c r="T53" s="62"/>
      <c r="U53" s="63"/>
      <c r="V53" s="52">
        <f t="shared" si="8"/>
        <v>0</v>
      </c>
      <c r="W53" s="6"/>
      <c r="X53" s="7"/>
      <c r="Y53" s="33"/>
      <c r="Z53" s="8" t="str">
        <f>IF(ISBLANK(Y53), "", VLOOKUP(Y53, Z!$A$2:$C$4127, 3, FALSE))</f>
        <v/>
      </c>
      <c r="AA53" s="38"/>
      <c r="AB53" s="9">
        <f t="shared" si="39"/>
        <v>0</v>
      </c>
      <c r="AC53" s="20"/>
      <c r="AD53" s="41">
        <f t="shared" si="40"/>
        <v>1</v>
      </c>
      <c r="AE53" s="41">
        <f t="shared" si="41"/>
        <v>1</v>
      </c>
      <c r="AF53" s="41">
        <f t="shared" si="42"/>
        <v>0</v>
      </c>
      <c r="AG53" s="41">
        <v>1</v>
      </c>
      <c r="AH53" s="41">
        <v>0</v>
      </c>
      <c r="AI53" s="41">
        <f t="shared" si="43"/>
        <v>-100</v>
      </c>
      <c r="AJ53" s="20"/>
      <c r="AK53" s="41">
        <v>22</v>
      </c>
      <c r="AL53" s="50">
        <v>242</v>
      </c>
      <c r="AM53" s="50">
        <v>172</v>
      </c>
      <c r="AN53" s="50">
        <v>134</v>
      </c>
      <c r="AO53" s="48">
        <f t="shared" si="6"/>
        <v>0.1875</v>
      </c>
      <c r="AP53" s="48">
        <f t="shared" si="6"/>
        <v>0.1875</v>
      </c>
      <c r="AQ53" s="48" cm="1">
        <f t="array" ref="AQ53">MIN(INDEX(Use,AQ$10,5) + MAX(0, (1-INDEX(Use,AQ$10,5))*($AK53-5)/(35-5)), 1)</f>
        <v>0.74</v>
      </c>
      <c r="AR53" s="48" cm="1">
        <f t="array" ref="AR53">MIN(INDEX(Use,AR$10,5) + MAX(0, (1-INDEX(Use,AR$10,5))*($AK53-5)/(35-5)), 1)</f>
        <v>0.82666666666666666</v>
      </c>
      <c r="AS53" s="48" cm="1">
        <f t="array" ref="AS53">MIN(INDEX(Use,AS$10,5) + MAX(0, (1-INDEX(Use,AS$10,5))*($AK53-5)/(35-5)), 1)</f>
        <v>0.91333333333333333</v>
      </c>
      <c r="AT53" s="48" cm="1">
        <f t="array" ref="AT53">MIN(INDEX(Use,AT$10,5) + MAX(0, (1-INDEX(Use,AT$10,5))*($AK53-5)/(35-5)), 1)</f>
        <v>0.91333333333333333</v>
      </c>
      <c r="AU53" s="48" cm="1">
        <f t="array" ref="AU53">MIN(INDEX(Use,AU$10,5) + MAX(0, (1-INDEX(Use,AU$10,5))*($AK53-5)/(35-5)), 1)</f>
        <v>0.91333333333333333</v>
      </c>
      <c r="AV53" s="48">
        <v>0.6</v>
      </c>
      <c r="AW53" s="48">
        <v>0.3</v>
      </c>
      <c r="AX53" s="15"/>
      <c r="AY53" s="41" cm="1">
        <f t="array" ref="AY53">INDEX(Use, $AD53, 4)</f>
        <v>7</v>
      </c>
      <c r="AZ53" s="41">
        <f t="shared" si="9"/>
        <v>32</v>
      </c>
      <c r="BA53" s="41">
        <f t="shared" si="10"/>
        <v>13</v>
      </c>
      <c r="BB53" s="41">
        <f t="shared" si="11"/>
        <v>0</v>
      </c>
      <c r="BC53" s="57" cm="1">
        <f t="array" ref="BC53">K53/IF($L53&gt;0, INDEX($AO$12:$AU$66, $L53+20, $AD53), 1)</f>
        <v>0</v>
      </c>
      <c r="BD53" s="46">
        <f t="shared" si="12"/>
        <v>0</v>
      </c>
      <c r="BE53" s="41">
        <v>35</v>
      </c>
      <c r="BF53" s="46">
        <f t="shared" si="13"/>
        <v>52.55</v>
      </c>
      <c r="BG53" s="49">
        <f t="shared" si="14"/>
        <v>2.7676728869374316</v>
      </c>
      <c r="BH53" s="49" cm="1">
        <f t="array" ref="BH53">$BC53 * SUMPRODUCT(INDEX($AL$66:$AN$71,,$AE53),INDEX($AO$66:$AU$71,,$AD53), N($AK$66:$AK$71&gt;$AI53)) / BG53 / 1000</f>
        <v>0</v>
      </c>
      <c r="BI53" s="50">
        <f t="shared" si="15"/>
        <v>30</v>
      </c>
      <c r="BJ53" s="46">
        <f t="shared" si="16"/>
        <v>46.033333333333331</v>
      </c>
      <c r="BK53" s="49">
        <f t="shared" si="17"/>
        <v>3.2297395388556791</v>
      </c>
      <c r="BL53" s="49" cm="1">
        <f t="array" ref="BL53">$BC53 * IF($AD53&lt;=2,
SUMPRODUCT(INDEX($AL$61:$AN$65,,$AE53), INDEX($AO$61:$AU$65,,$AD53), 1 / ($AV$61:$AV$65*BK53 + (1-$AV$61:$AV$65)*BG53), N($AK$61:$AK$65&gt;$AI53)),
SUMPRODUCT(INDEX($AL$56:$AN$65,,$AE53), INDEX($AO$56:$AU$65,,$AD53), 1 / ($AW$56:$AW$65*BK53 + (1-$AW$56:$AW$65)*BG53), N($AK$56:$AK$65&gt;$AI53))
) / 1000</f>
        <v>0</v>
      </c>
      <c r="BM53" s="50">
        <f t="shared" si="18"/>
        <v>25</v>
      </c>
      <c r="BN53" s="46">
        <f t="shared" si="19"/>
        <v>39.516666666666666</v>
      </c>
      <c r="BO53" s="49">
        <f t="shared" si="20"/>
        <v>3.877011788826243</v>
      </c>
      <c r="BP53" s="49" cm="1">
        <f t="array" ref="BP53">$BC53 * IF($AD53&lt;=2,
SUMPRODUCT(INDEX($AL$56:$AN$60,,$AE53), INDEX($AO$56:$AU$60,,$AD53), 1 / ($AV$56:$AV$60*BO53 + (1-$AV$56:$AV$60)*BK53), N($AK$56:$AK$60&gt;$AI53)),
SUMPRODUCT(INDEX($AL$46:$AN$55,,$AE53), INDEX($AO$46:$AU$55,,$AD53), 1 / ($AW$46:$AW$55*BO53 + (1-$AW$46:$AW$55)*BK53), N($AK$46:$AK$55&gt;$AI53))
) / 1000</f>
        <v>0</v>
      </c>
      <c r="BQ53" s="50">
        <f t="shared" si="21"/>
        <v>20</v>
      </c>
      <c r="BR53" s="46">
        <f t="shared" si="22"/>
        <v>33</v>
      </c>
      <c r="BS53" s="49">
        <f t="shared" si="23"/>
        <v>4.8487499999999999</v>
      </c>
      <c r="BT53" s="49" cm="1">
        <f t="array" ref="BT53">$BC53 * IF($AD53&lt;=2,
SUMPRODUCT(INDEX($AL$51:$AN$55,,$AE53), INDEX($AO$51:$AU$55,,$AD53), 1 / ($AV$51:$AV$55*BS53 + (1-$AV$51:$AV$55)*BO53), N($AK$51:$AK$55&gt;$AI53)),
SUMPRODUCT(INDEX($AL$36:$AN$45,,$AE53), INDEX($AO$36:$AU$45,,$AD53), 1 / ($AW$36:$AW$45*BS53 + (1-$AW$36:$AW$45)*BO53), N($AK$36:$AK$45&gt;$AI53))
) / 1000</f>
        <v>0</v>
      </c>
      <c r="BU53" s="49" cm="1">
        <f t="array" ref="BU53">$BC53 * IF($AD53&lt;=2,
SUMPRODUCT(INDEX($AL$12:$AN$50,,$AE53), INDEX($AO$12:$AU$50,,$AD53), 1 / ($AV$12:$AV$50*BS53), N($AK$12:$AK$50&gt;$AI53)),
SUMPRODUCT(INDEX($AL$12:$AN$35,,$AE53), INDEX($AO$12:$AU$35,,$AD53), 1 / ($AW$12:$AW$35*BS53), N($AK$12:$AK$35&gt;$AI53))
) / 1000</f>
        <v>0</v>
      </c>
      <c r="BV53" s="46">
        <f t="shared" si="24"/>
        <v>0</v>
      </c>
      <c r="BW53" s="20"/>
      <c r="BX53" s="46">
        <f t="shared" si="25"/>
        <v>0</v>
      </c>
      <c r="BY53" s="41">
        <v>35</v>
      </c>
      <c r="BZ53" s="46">
        <f t="shared" si="26"/>
        <v>48</v>
      </c>
      <c r="CA53" s="49">
        <f t="shared" si="27"/>
        <v>3.0748170731707316</v>
      </c>
      <c r="CB53" s="49" cm="1">
        <f t="array" ref="CB53">$BC53 * SUMPRODUCT(INDEX($AL$66:$AN$71,,$AE53),INDEX($AO$66:$AU$71,,$AD53), N($AK$66:$AK$71&gt;$AI53)) / CA53 / 1000</f>
        <v>0</v>
      </c>
      <c r="CC53" s="50">
        <f t="shared" si="28"/>
        <v>30</v>
      </c>
      <c r="CD53" s="46">
        <f t="shared" si="29"/>
        <v>43</v>
      </c>
      <c r="CE53" s="49">
        <f t="shared" si="30"/>
        <v>3.5018750000000001</v>
      </c>
      <c r="CF53" s="49" cm="1">
        <f t="array" ref="CF53">$BC53 * IF($AD53&lt;=2,
SUMPRODUCT(INDEX($AL$61:$AN$65,,$AE53), INDEX($AO$61:$AU$65,,$AD53), 1 / ($AV$61:$AV$65*CE53 + (1-$AV$61:$AV$65)*CA53), N($AK$61:$AK$65&gt;$AI53)),
SUMPRODUCT(INDEX($AL$56:$AN$65,,$AE53), INDEX($AO$56:$AU$65,,$AD53), 1 / ($AW$56:$AW$65*CE53 + (1-$AW$56:$AW$65)*CA53), N($AK$56:$AK$65&gt;$AI53))
) / 1000</f>
        <v>0</v>
      </c>
      <c r="CG53" s="50">
        <f t="shared" si="31"/>
        <v>25</v>
      </c>
      <c r="CH53" s="46">
        <f t="shared" si="32"/>
        <v>38</v>
      </c>
      <c r="CI53" s="49">
        <f t="shared" si="33"/>
        <v>4.0666935483870965</v>
      </c>
      <c r="CJ53" s="49" cm="1">
        <f t="array" ref="CJ53">$BC53 * IF($AD53&lt;=2,
SUMPRODUCT(INDEX($AL$56:$AN$60,,$AE53), INDEX($AO$56:$AU$60,,$AD53), 1 / ($AV$56:$AV$60*CI53 + (1-$AV$56:$AV$60)*CE53), N($AK$56:$AK$60&gt;$AI53)),
SUMPRODUCT(INDEX($AL$46:$AN$55,,$AE53), INDEX($AO$46:$AU$55,,$AD53), 1 / ($AW$46:$AW$55*CI53 + (1-$AW$46:$AW$55)*CE53), N($AK$46:$AK$55&gt;$AI53))
) / 1000</f>
        <v>0</v>
      </c>
      <c r="CK53" s="50">
        <f t="shared" si="34"/>
        <v>20</v>
      </c>
      <c r="CL53" s="46">
        <f t="shared" si="35"/>
        <v>33</v>
      </c>
      <c r="CM53" s="49">
        <f t="shared" si="36"/>
        <v>4.8487499999999999</v>
      </c>
      <c r="CN53" s="49" cm="1">
        <f t="array" ref="CN53">$BC53 * IF($AD53&lt;=2,
SUMPRODUCT(INDEX($AL$51:$AN$55,,$AE53), INDEX($AO$51:$AU$55,,$AD53), 1 / ($AV$51:$AV$55*CM53 + (1-$AV$51:$AV$55)*CI53), N($AK$51:$AK$55&gt;$AI53)),
SUMPRODUCT(INDEX($AL$36:$AN$45,,$AE53), INDEX($AO$36:$AU$45,,$AD53), 1 / ($AW$36:$AW$45*CM53 + (1-$AW$36:$AW$45)*CI53), N($AK$36:$AK$45&gt;$AI53))
) / 1000</f>
        <v>0</v>
      </c>
      <c r="CO53" s="49" cm="1">
        <f t="array" ref="CO53">$BC53 * IF($AD53&lt;=2,
SUMPRODUCT(INDEX($AL$12:$AN$50,,$AE53), INDEX($AO$12:$AU$50,,$AD53), 1 / ($AV$12:$AV$50*CM53), N($AK$12:$AK$50&gt;$AI53)),
SUMPRODUCT(INDEX($AL$12:$AN$35,,$AE53), INDEX($AO$12:$AU$35,,$AD53), 1 / ($AW$12:$AW$35*CM53), N($AK$12:$AK$35&gt;$AI53))
) / 1000</f>
        <v>0</v>
      </c>
      <c r="CP53" s="46">
        <f t="shared" si="37"/>
        <v>0</v>
      </c>
      <c r="CQ53" s="20"/>
    </row>
    <row r="54" spans="1:95" s="95" customFormat="1" ht="14.25" customHeight="1" x14ac:dyDescent="0.25">
      <c r="A54" s="36" t="b">
        <f t="shared" si="38"/>
        <v>0</v>
      </c>
      <c r="B54" s="94">
        <v>43</v>
      </c>
      <c r="C54" s="7"/>
      <c r="D54" s="7"/>
      <c r="E54" s="33"/>
      <c r="F54" s="8" t="str">
        <f>IF(ISBLANK(E54), "", VLOOKUP(E54, Z!$A$2:$C$4127, 3, FALSE))</f>
        <v/>
      </c>
      <c r="G54" s="44"/>
      <c r="H54" s="44"/>
      <c r="I54" s="107"/>
      <c r="J54" s="108"/>
      <c r="K54" s="34"/>
      <c r="L54" s="59"/>
      <c r="M54" s="58" t="str" cm="1">
        <f t="array" ref="M54">IF($K54&gt;0, INDEX(Clean,1+AG54,$B$1), "")</f>
        <v/>
      </c>
      <c r="N54" s="62"/>
      <c r="O54" s="62"/>
      <c r="P54" s="63"/>
      <c r="Q54" s="52">
        <f t="shared" si="7"/>
        <v>0</v>
      </c>
      <c r="R54" s="58" t="str" cm="1">
        <f t="array" ref="R54">IF($K54&gt;0, INDEX(Clean,1+AH54,$B$1), "")</f>
        <v/>
      </c>
      <c r="S54" s="62"/>
      <c r="T54" s="62"/>
      <c r="U54" s="63"/>
      <c r="V54" s="52">
        <f t="shared" si="8"/>
        <v>0</v>
      </c>
      <c r="W54" s="6"/>
      <c r="X54" s="7"/>
      <c r="Y54" s="33"/>
      <c r="Z54" s="8" t="str">
        <f>IF(ISBLANK(Y54), "", VLOOKUP(Y54, Z!$A$2:$C$4127, 3, FALSE))</f>
        <v/>
      </c>
      <c r="AA54" s="38"/>
      <c r="AB54" s="9">
        <f t="shared" si="39"/>
        <v>0</v>
      </c>
      <c r="AC54" s="20"/>
      <c r="AD54" s="41">
        <f t="shared" si="40"/>
        <v>1</v>
      </c>
      <c r="AE54" s="41">
        <f t="shared" si="41"/>
        <v>1</v>
      </c>
      <c r="AF54" s="41">
        <f t="shared" si="42"/>
        <v>0</v>
      </c>
      <c r="AG54" s="41">
        <v>1</v>
      </c>
      <c r="AH54" s="41">
        <v>0</v>
      </c>
      <c r="AI54" s="41">
        <f t="shared" si="43"/>
        <v>-100</v>
      </c>
      <c r="AJ54" s="20"/>
      <c r="AK54" s="41">
        <v>23</v>
      </c>
      <c r="AL54" s="50">
        <v>208</v>
      </c>
      <c r="AM54" s="50">
        <v>135</v>
      </c>
      <c r="AN54" s="50">
        <v>114</v>
      </c>
      <c r="AO54" s="48">
        <f t="shared" si="6"/>
        <v>0.25</v>
      </c>
      <c r="AP54" s="48">
        <f t="shared" si="6"/>
        <v>0.25</v>
      </c>
      <c r="AQ54" s="48" cm="1">
        <f t="array" ref="AQ54">MIN(INDEX(Use,AQ$10,5) + MAX(0, (1-INDEX(Use,AQ$10,5))*($AK54-5)/(35-5)), 1)</f>
        <v>0.76</v>
      </c>
      <c r="AR54" s="48" cm="1">
        <f t="array" ref="AR54">MIN(INDEX(Use,AR$10,5) + MAX(0, (1-INDEX(Use,AR$10,5))*($AK54-5)/(35-5)), 1)</f>
        <v>0.84</v>
      </c>
      <c r="AS54" s="48" cm="1">
        <f t="array" ref="AS54">MIN(INDEX(Use,AS$10,5) + MAX(0, (1-INDEX(Use,AS$10,5))*($AK54-5)/(35-5)), 1)</f>
        <v>0.92</v>
      </c>
      <c r="AT54" s="48" cm="1">
        <f t="array" ref="AT54">MIN(INDEX(Use,AT$10,5) + MAX(0, (1-INDEX(Use,AT$10,5))*($AK54-5)/(35-5)), 1)</f>
        <v>0.92</v>
      </c>
      <c r="AU54" s="48" cm="1">
        <f t="array" ref="AU54">MIN(INDEX(Use,AU$10,5) + MAX(0, (1-INDEX(Use,AU$10,5))*($AK54-5)/(35-5)), 1)</f>
        <v>0.92</v>
      </c>
      <c r="AV54" s="48">
        <v>0.4</v>
      </c>
      <c r="AW54" s="48">
        <v>0.2</v>
      </c>
      <c r="AX54" s="15"/>
      <c r="AY54" s="41" cm="1">
        <f t="array" ref="AY54">INDEX(Use, $AD54, 4)</f>
        <v>7</v>
      </c>
      <c r="AZ54" s="41">
        <f t="shared" si="9"/>
        <v>32</v>
      </c>
      <c r="BA54" s="41">
        <f t="shared" si="10"/>
        <v>13</v>
      </c>
      <c r="BB54" s="41">
        <f t="shared" si="11"/>
        <v>0</v>
      </c>
      <c r="BC54" s="57" cm="1">
        <f t="array" ref="BC54">K54/IF($L54&gt;0, INDEX($AO$12:$AU$66, $L54+20, $AD54), 1)</f>
        <v>0</v>
      </c>
      <c r="BD54" s="46">
        <f t="shared" si="12"/>
        <v>0</v>
      </c>
      <c r="BE54" s="41">
        <v>35</v>
      </c>
      <c r="BF54" s="46">
        <f t="shared" si="13"/>
        <v>52.55</v>
      </c>
      <c r="BG54" s="49">
        <f t="shared" si="14"/>
        <v>2.7676728869374316</v>
      </c>
      <c r="BH54" s="49" cm="1">
        <f t="array" ref="BH54">$BC54 * SUMPRODUCT(INDEX($AL$66:$AN$71,,$AE54),INDEX($AO$66:$AU$71,,$AD54), N($AK$66:$AK$71&gt;$AI54)) / BG54 / 1000</f>
        <v>0</v>
      </c>
      <c r="BI54" s="50">
        <f t="shared" si="15"/>
        <v>30</v>
      </c>
      <c r="BJ54" s="46">
        <f t="shared" si="16"/>
        <v>46.033333333333331</v>
      </c>
      <c r="BK54" s="49">
        <f t="shared" si="17"/>
        <v>3.2297395388556791</v>
      </c>
      <c r="BL54" s="49" cm="1">
        <f t="array" ref="BL54">$BC54 * IF($AD54&lt;=2,
SUMPRODUCT(INDEX($AL$61:$AN$65,,$AE54), INDEX($AO$61:$AU$65,,$AD54), 1 / ($AV$61:$AV$65*BK54 + (1-$AV$61:$AV$65)*BG54), N($AK$61:$AK$65&gt;$AI54)),
SUMPRODUCT(INDEX($AL$56:$AN$65,,$AE54), INDEX($AO$56:$AU$65,,$AD54), 1 / ($AW$56:$AW$65*BK54 + (1-$AW$56:$AW$65)*BG54), N($AK$56:$AK$65&gt;$AI54))
) / 1000</f>
        <v>0</v>
      </c>
      <c r="BM54" s="50">
        <f t="shared" si="18"/>
        <v>25</v>
      </c>
      <c r="BN54" s="46">
        <f t="shared" si="19"/>
        <v>39.516666666666666</v>
      </c>
      <c r="BO54" s="49">
        <f t="shared" si="20"/>
        <v>3.877011788826243</v>
      </c>
      <c r="BP54" s="49" cm="1">
        <f t="array" ref="BP54">$BC54 * IF($AD54&lt;=2,
SUMPRODUCT(INDEX($AL$56:$AN$60,,$AE54), INDEX($AO$56:$AU$60,,$AD54), 1 / ($AV$56:$AV$60*BO54 + (1-$AV$56:$AV$60)*BK54), N($AK$56:$AK$60&gt;$AI54)),
SUMPRODUCT(INDEX($AL$46:$AN$55,,$AE54), INDEX($AO$46:$AU$55,,$AD54), 1 / ($AW$46:$AW$55*BO54 + (1-$AW$46:$AW$55)*BK54), N($AK$46:$AK$55&gt;$AI54))
) / 1000</f>
        <v>0</v>
      </c>
      <c r="BQ54" s="50">
        <f t="shared" si="21"/>
        <v>20</v>
      </c>
      <c r="BR54" s="46">
        <f t="shared" si="22"/>
        <v>33</v>
      </c>
      <c r="BS54" s="49">
        <f t="shared" si="23"/>
        <v>4.8487499999999999</v>
      </c>
      <c r="BT54" s="49" cm="1">
        <f t="array" ref="BT54">$BC54 * IF($AD54&lt;=2,
SUMPRODUCT(INDEX($AL$51:$AN$55,,$AE54), INDEX($AO$51:$AU$55,,$AD54), 1 / ($AV$51:$AV$55*BS54 + (1-$AV$51:$AV$55)*BO54), N($AK$51:$AK$55&gt;$AI54)),
SUMPRODUCT(INDEX($AL$36:$AN$45,,$AE54), INDEX($AO$36:$AU$45,,$AD54), 1 / ($AW$36:$AW$45*BS54 + (1-$AW$36:$AW$45)*BO54), N($AK$36:$AK$45&gt;$AI54))
) / 1000</f>
        <v>0</v>
      </c>
      <c r="BU54" s="49" cm="1">
        <f t="array" ref="BU54">$BC54 * IF($AD54&lt;=2,
SUMPRODUCT(INDEX($AL$12:$AN$50,,$AE54), INDEX($AO$12:$AU$50,,$AD54), 1 / ($AV$12:$AV$50*BS54), N($AK$12:$AK$50&gt;$AI54)),
SUMPRODUCT(INDEX($AL$12:$AN$35,,$AE54), INDEX($AO$12:$AU$35,,$AD54), 1 / ($AW$12:$AW$35*BS54), N($AK$12:$AK$35&gt;$AI54))
) / 1000</f>
        <v>0</v>
      </c>
      <c r="BV54" s="46">
        <f t="shared" si="24"/>
        <v>0</v>
      </c>
      <c r="BW54" s="20"/>
      <c r="BX54" s="46">
        <f t="shared" si="25"/>
        <v>0</v>
      </c>
      <c r="BY54" s="41">
        <v>35</v>
      </c>
      <c r="BZ54" s="46">
        <f t="shared" si="26"/>
        <v>48</v>
      </c>
      <c r="CA54" s="49">
        <f t="shared" si="27"/>
        <v>3.0748170731707316</v>
      </c>
      <c r="CB54" s="49" cm="1">
        <f t="array" ref="CB54">$BC54 * SUMPRODUCT(INDEX($AL$66:$AN$71,,$AE54),INDEX($AO$66:$AU$71,,$AD54), N($AK$66:$AK$71&gt;$AI54)) / CA54 / 1000</f>
        <v>0</v>
      </c>
      <c r="CC54" s="50">
        <f t="shared" si="28"/>
        <v>30</v>
      </c>
      <c r="CD54" s="46">
        <f t="shared" si="29"/>
        <v>43</v>
      </c>
      <c r="CE54" s="49">
        <f t="shared" si="30"/>
        <v>3.5018750000000001</v>
      </c>
      <c r="CF54" s="49" cm="1">
        <f t="array" ref="CF54">$BC54 * IF($AD54&lt;=2,
SUMPRODUCT(INDEX($AL$61:$AN$65,,$AE54), INDEX($AO$61:$AU$65,,$AD54), 1 / ($AV$61:$AV$65*CE54 + (1-$AV$61:$AV$65)*CA54), N($AK$61:$AK$65&gt;$AI54)),
SUMPRODUCT(INDEX($AL$56:$AN$65,,$AE54), INDEX($AO$56:$AU$65,,$AD54), 1 / ($AW$56:$AW$65*CE54 + (1-$AW$56:$AW$65)*CA54), N($AK$56:$AK$65&gt;$AI54))
) / 1000</f>
        <v>0</v>
      </c>
      <c r="CG54" s="50">
        <f t="shared" si="31"/>
        <v>25</v>
      </c>
      <c r="CH54" s="46">
        <f t="shared" si="32"/>
        <v>38</v>
      </c>
      <c r="CI54" s="49">
        <f t="shared" si="33"/>
        <v>4.0666935483870965</v>
      </c>
      <c r="CJ54" s="49" cm="1">
        <f t="array" ref="CJ54">$BC54 * IF($AD54&lt;=2,
SUMPRODUCT(INDEX($AL$56:$AN$60,,$AE54), INDEX($AO$56:$AU$60,,$AD54), 1 / ($AV$56:$AV$60*CI54 + (1-$AV$56:$AV$60)*CE54), N($AK$56:$AK$60&gt;$AI54)),
SUMPRODUCT(INDEX($AL$46:$AN$55,,$AE54), INDEX($AO$46:$AU$55,,$AD54), 1 / ($AW$46:$AW$55*CI54 + (1-$AW$46:$AW$55)*CE54), N($AK$46:$AK$55&gt;$AI54))
) / 1000</f>
        <v>0</v>
      </c>
      <c r="CK54" s="50">
        <f t="shared" si="34"/>
        <v>20</v>
      </c>
      <c r="CL54" s="46">
        <f t="shared" si="35"/>
        <v>33</v>
      </c>
      <c r="CM54" s="49">
        <f t="shared" si="36"/>
        <v>4.8487499999999999</v>
      </c>
      <c r="CN54" s="49" cm="1">
        <f t="array" ref="CN54">$BC54 * IF($AD54&lt;=2,
SUMPRODUCT(INDEX($AL$51:$AN$55,,$AE54), INDEX($AO$51:$AU$55,,$AD54), 1 / ($AV$51:$AV$55*CM54 + (1-$AV$51:$AV$55)*CI54), N($AK$51:$AK$55&gt;$AI54)),
SUMPRODUCT(INDEX($AL$36:$AN$45,,$AE54), INDEX($AO$36:$AU$45,,$AD54), 1 / ($AW$36:$AW$45*CM54 + (1-$AW$36:$AW$45)*CI54), N($AK$36:$AK$45&gt;$AI54))
) / 1000</f>
        <v>0</v>
      </c>
      <c r="CO54" s="49" cm="1">
        <f t="array" ref="CO54">$BC54 * IF($AD54&lt;=2,
SUMPRODUCT(INDEX($AL$12:$AN$50,,$AE54), INDEX($AO$12:$AU$50,,$AD54), 1 / ($AV$12:$AV$50*CM54), N($AK$12:$AK$50&gt;$AI54)),
SUMPRODUCT(INDEX($AL$12:$AN$35,,$AE54), INDEX($AO$12:$AU$35,,$AD54), 1 / ($AW$12:$AW$35*CM54), N($AK$12:$AK$35&gt;$AI54))
) / 1000</f>
        <v>0</v>
      </c>
      <c r="CP54" s="46">
        <f t="shared" si="37"/>
        <v>0</v>
      </c>
      <c r="CQ54" s="20"/>
    </row>
    <row r="55" spans="1:95" s="95" customFormat="1" ht="14.25" customHeight="1" x14ac:dyDescent="0.25">
      <c r="A55" s="36" t="b">
        <f t="shared" si="38"/>
        <v>0</v>
      </c>
      <c r="B55" s="94">
        <v>44</v>
      </c>
      <c r="C55" s="7"/>
      <c r="D55" s="7"/>
      <c r="E55" s="33"/>
      <c r="F55" s="8" t="str">
        <f>IF(ISBLANK(E55), "", VLOOKUP(E55, Z!$A$2:$C$4127, 3, FALSE))</f>
        <v/>
      </c>
      <c r="G55" s="44"/>
      <c r="H55" s="44"/>
      <c r="I55" s="107"/>
      <c r="J55" s="108"/>
      <c r="K55" s="34"/>
      <c r="L55" s="59"/>
      <c r="M55" s="58" t="str" cm="1">
        <f t="array" ref="M55">IF($K55&gt;0, INDEX(Clean,1+AG55,$B$1), "")</f>
        <v/>
      </c>
      <c r="N55" s="62"/>
      <c r="O55" s="62"/>
      <c r="P55" s="63"/>
      <c r="Q55" s="52">
        <f t="shared" si="7"/>
        <v>0</v>
      </c>
      <c r="R55" s="58" t="str" cm="1">
        <f t="array" ref="R55">IF($K55&gt;0, INDEX(Clean,1+AH55,$B$1), "")</f>
        <v/>
      </c>
      <c r="S55" s="62"/>
      <c r="T55" s="62"/>
      <c r="U55" s="63"/>
      <c r="V55" s="52">
        <f t="shared" si="8"/>
        <v>0</v>
      </c>
      <c r="W55" s="6"/>
      <c r="X55" s="7"/>
      <c r="Y55" s="33"/>
      <c r="Z55" s="8" t="str">
        <f>IF(ISBLANK(Y55), "", VLOOKUP(Y55, Z!$A$2:$C$4127, 3, FALSE))</f>
        <v/>
      </c>
      <c r="AA55" s="38"/>
      <c r="AB55" s="9">
        <f t="shared" si="39"/>
        <v>0</v>
      </c>
      <c r="AC55" s="20"/>
      <c r="AD55" s="41">
        <f t="shared" si="40"/>
        <v>1</v>
      </c>
      <c r="AE55" s="41">
        <f t="shared" si="41"/>
        <v>1</v>
      </c>
      <c r="AF55" s="41">
        <f t="shared" si="42"/>
        <v>0</v>
      </c>
      <c r="AG55" s="41">
        <v>1</v>
      </c>
      <c r="AH55" s="41">
        <v>0</v>
      </c>
      <c r="AI55" s="41">
        <f t="shared" si="43"/>
        <v>-100</v>
      </c>
      <c r="AJ55" s="20"/>
      <c r="AK55" s="41">
        <v>24</v>
      </c>
      <c r="AL55" s="50">
        <v>179</v>
      </c>
      <c r="AM55" s="50">
        <v>135</v>
      </c>
      <c r="AN55" s="50">
        <v>103</v>
      </c>
      <c r="AO55" s="48">
        <f t="shared" si="6"/>
        <v>0.3125</v>
      </c>
      <c r="AP55" s="48">
        <f t="shared" si="6"/>
        <v>0.3125</v>
      </c>
      <c r="AQ55" s="48" cm="1">
        <f t="array" ref="AQ55">MIN(INDEX(Use,AQ$10,5) + MAX(0, (1-INDEX(Use,AQ$10,5))*($AK55-5)/(35-5)), 1)</f>
        <v>0.78</v>
      </c>
      <c r="AR55" s="48" cm="1">
        <f t="array" ref="AR55">MIN(INDEX(Use,AR$10,5) + MAX(0, (1-INDEX(Use,AR$10,5))*($AK55-5)/(35-5)), 1)</f>
        <v>0.85333333333333328</v>
      </c>
      <c r="AS55" s="48" cm="1">
        <f t="array" ref="AS55">MIN(INDEX(Use,AS$10,5) + MAX(0, (1-INDEX(Use,AS$10,5))*($AK55-5)/(35-5)), 1)</f>
        <v>0.92666666666666664</v>
      </c>
      <c r="AT55" s="48" cm="1">
        <f t="array" ref="AT55">MIN(INDEX(Use,AT$10,5) + MAX(0, (1-INDEX(Use,AT$10,5))*($AK55-5)/(35-5)), 1)</f>
        <v>0.92666666666666664</v>
      </c>
      <c r="AU55" s="48" cm="1">
        <f t="array" ref="AU55">MIN(INDEX(Use,AU$10,5) + MAX(0, (1-INDEX(Use,AU$10,5))*($AK55-5)/(35-5)), 1)</f>
        <v>0.92666666666666664</v>
      </c>
      <c r="AV55" s="48">
        <v>0.2</v>
      </c>
      <c r="AW55" s="48">
        <v>0.1</v>
      </c>
      <c r="AX55" s="15"/>
      <c r="AY55" s="41" cm="1">
        <f t="array" ref="AY55">INDEX(Use, $AD55, 4)</f>
        <v>7</v>
      </c>
      <c r="AZ55" s="41">
        <f t="shared" si="9"/>
        <v>32</v>
      </c>
      <c r="BA55" s="41">
        <f t="shared" si="10"/>
        <v>13</v>
      </c>
      <c r="BB55" s="41">
        <f t="shared" si="11"/>
        <v>0</v>
      </c>
      <c r="BC55" s="57" cm="1">
        <f t="array" ref="BC55">K55/IF($L55&gt;0, INDEX($AO$12:$AU$66, $L55+20, $AD55), 1)</f>
        <v>0</v>
      </c>
      <c r="BD55" s="46">
        <f t="shared" si="12"/>
        <v>0</v>
      </c>
      <c r="BE55" s="41">
        <v>35</v>
      </c>
      <c r="BF55" s="46">
        <f t="shared" si="13"/>
        <v>52.55</v>
      </c>
      <c r="BG55" s="49">
        <f t="shared" si="14"/>
        <v>2.7676728869374316</v>
      </c>
      <c r="BH55" s="49" cm="1">
        <f t="array" ref="BH55">$BC55 * SUMPRODUCT(INDEX($AL$66:$AN$71,,$AE55),INDEX($AO$66:$AU$71,,$AD55), N($AK$66:$AK$71&gt;$AI55)) / BG55 / 1000</f>
        <v>0</v>
      </c>
      <c r="BI55" s="50">
        <f t="shared" si="15"/>
        <v>30</v>
      </c>
      <c r="BJ55" s="46">
        <f t="shared" si="16"/>
        <v>46.033333333333331</v>
      </c>
      <c r="BK55" s="49">
        <f t="shared" si="17"/>
        <v>3.2297395388556791</v>
      </c>
      <c r="BL55" s="49" cm="1">
        <f t="array" ref="BL55">$BC55 * IF($AD55&lt;=2,
SUMPRODUCT(INDEX($AL$61:$AN$65,,$AE55), INDEX($AO$61:$AU$65,,$AD55), 1 / ($AV$61:$AV$65*BK55 + (1-$AV$61:$AV$65)*BG55), N($AK$61:$AK$65&gt;$AI55)),
SUMPRODUCT(INDEX($AL$56:$AN$65,,$AE55), INDEX($AO$56:$AU$65,,$AD55), 1 / ($AW$56:$AW$65*BK55 + (1-$AW$56:$AW$65)*BG55), N($AK$56:$AK$65&gt;$AI55))
) / 1000</f>
        <v>0</v>
      </c>
      <c r="BM55" s="50">
        <f t="shared" si="18"/>
        <v>25</v>
      </c>
      <c r="BN55" s="46">
        <f t="shared" si="19"/>
        <v>39.516666666666666</v>
      </c>
      <c r="BO55" s="49">
        <f t="shared" si="20"/>
        <v>3.877011788826243</v>
      </c>
      <c r="BP55" s="49" cm="1">
        <f t="array" ref="BP55">$BC55 * IF($AD55&lt;=2,
SUMPRODUCT(INDEX($AL$56:$AN$60,,$AE55), INDEX($AO$56:$AU$60,,$AD55), 1 / ($AV$56:$AV$60*BO55 + (1-$AV$56:$AV$60)*BK55), N($AK$56:$AK$60&gt;$AI55)),
SUMPRODUCT(INDEX($AL$46:$AN$55,,$AE55), INDEX($AO$46:$AU$55,,$AD55), 1 / ($AW$46:$AW$55*BO55 + (1-$AW$46:$AW$55)*BK55), N($AK$46:$AK$55&gt;$AI55))
) / 1000</f>
        <v>0</v>
      </c>
      <c r="BQ55" s="50">
        <f t="shared" si="21"/>
        <v>20</v>
      </c>
      <c r="BR55" s="46">
        <f t="shared" si="22"/>
        <v>33</v>
      </c>
      <c r="BS55" s="49">
        <f t="shared" si="23"/>
        <v>4.8487499999999999</v>
      </c>
      <c r="BT55" s="49" cm="1">
        <f t="array" ref="BT55">$BC55 * IF($AD55&lt;=2,
SUMPRODUCT(INDEX($AL$51:$AN$55,,$AE55), INDEX($AO$51:$AU$55,,$AD55), 1 / ($AV$51:$AV$55*BS55 + (1-$AV$51:$AV$55)*BO55), N($AK$51:$AK$55&gt;$AI55)),
SUMPRODUCT(INDEX($AL$36:$AN$45,,$AE55), INDEX($AO$36:$AU$45,,$AD55), 1 / ($AW$36:$AW$45*BS55 + (1-$AW$36:$AW$45)*BO55), N($AK$36:$AK$45&gt;$AI55))
) / 1000</f>
        <v>0</v>
      </c>
      <c r="BU55" s="49" cm="1">
        <f t="array" ref="BU55">$BC55 * IF($AD55&lt;=2,
SUMPRODUCT(INDEX($AL$12:$AN$50,,$AE55), INDEX($AO$12:$AU$50,,$AD55), 1 / ($AV$12:$AV$50*BS55), N($AK$12:$AK$50&gt;$AI55)),
SUMPRODUCT(INDEX($AL$12:$AN$35,,$AE55), INDEX($AO$12:$AU$35,,$AD55), 1 / ($AW$12:$AW$35*BS55), N($AK$12:$AK$35&gt;$AI55))
) / 1000</f>
        <v>0</v>
      </c>
      <c r="BV55" s="46">
        <f t="shared" si="24"/>
        <v>0</v>
      </c>
      <c r="BW55" s="20"/>
      <c r="BX55" s="46">
        <f t="shared" si="25"/>
        <v>0</v>
      </c>
      <c r="BY55" s="41">
        <v>35</v>
      </c>
      <c r="BZ55" s="46">
        <f t="shared" si="26"/>
        <v>48</v>
      </c>
      <c r="CA55" s="49">
        <f t="shared" si="27"/>
        <v>3.0748170731707316</v>
      </c>
      <c r="CB55" s="49" cm="1">
        <f t="array" ref="CB55">$BC55 * SUMPRODUCT(INDEX($AL$66:$AN$71,,$AE55),INDEX($AO$66:$AU$71,,$AD55), N($AK$66:$AK$71&gt;$AI55)) / CA55 / 1000</f>
        <v>0</v>
      </c>
      <c r="CC55" s="50">
        <f t="shared" si="28"/>
        <v>30</v>
      </c>
      <c r="CD55" s="46">
        <f t="shared" si="29"/>
        <v>43</v>
      </c>
      <c r="CE55" s="49">
        <f t="shared" si="30"/>
        <v>3.5018750000000001</v>
      </c>
      <c r="CF55" s="49" cm="1">
        <f t="array" ref="CF55">$BC55 * IF($AD55&lt;=2,
SUMPRODUCT(INDEX($AL$61:$AN$65,,$AE55), INDEX($AO$61:$AU$65,,$AD55), 1 / ($AV$61:$AV$65*CE55 + (1-$AV$61:$AV$65)*CA55), N($AK$61:$AK$65&gt;$AI55)),
SUMPRODUCT(INDEX($AL$56:$AN$65,,$AE55), INDEX($AO$56:$AU$65,,$AD55), 1 / ($AW$56:$AW$65*CE55 + (1-$AW$56:$AW$65)*CA55), N($AK$56:$AK$65&gt;$AI55))
) / 1000</f>
        <v>0</v>
      </c>
      <c r="CG55" s="50">
        <f t="shared" si="31"/>
        <v>25</v>
      </c>
      <c r="CH55" s="46">
        <f t="shared" si="32"/>
        <v>38</v>
      </c>
      <c r="CI55" s="49">
        <f t="shared" si="33"/>
        <v>4.0666935483870965</v>
      </c>
      <c r="CJ55" s="49" cm="1">
        <f t="array" ref="CJ55">$BC55 * IF($AD55&lt;=2,
SUMPRODUCT(INDEX($AL$56:$AN$60,,$AE55), INDEX($AO$56:$AU$60,,$AD55), 1 / ($AV$56:$AV$60*CI55 + (1-$AV$56:$AV$60)*CE55), N($AK$56:$AK$60&gt;$AI55)),
SUMPRODUCT(INDEX($AL$46:$AN$55,,$AE55), INDEX($AO$46:$AU$55,,$AD55), 1 / ($AW$46:$AW$55*CI55 + (1-$AW$46:$AW$55)*CE55), N($AK$46:$AK$55&gt;$AI55))
) / 1000</f>
        <v>0</v>
      </c>
      <c r="CK55" s="50">
        <f t="shared" si="34"/>
        <v>20</v>
      </c>
      <c r="CL55" s="46">
        <f t="shared" si="35"/>
        <v>33</v>
      </c>
      <c r="CM55" s="49">
        <f t="shared" si="36"/>
        <v>4.8487499999999999</v>
      </c>
      <c r="CN55" s="49" cm="1">
        <f t="array" ref="CN55">$BC55 * IF($AD55&lt;=2,
SUMPRODUCT(INDEX($AL$51:$AN$55,,$AE55), INDEX($AO$51:$AU$55,,$AD55), 1 / ($AV$51:$AV$55*CM55 + (1-$AV$51:$AV$55)*CI55), N($AK$51:$AK$55&gt;$AI55)),
SUMPRODUCT(INDEX($AL$36:$AN$45,,$AE55), INDEX($AO$36:$AU$45,,$AD55), 1 / ($AW$36:$AW$45*CM55 + (1-$AW$36:$AW$45)*CI55), N($AK$36:$AK$45&gt;$AI55))
) / 1000</f>
        <v>0</v>
      </c>
      <c r="CO55" s="49" cm="1">
        <f t="array" ref="CO55">$BC55 * IF($AD55&lt;=2,
SUMPRODUCT(INDEX($AL$12:$AN$50,,$AE55), INDEX($AO$12:$AU$50,,$AD55), 1 / ($AV$12:$AV$50*CM55), N($AK$12:$AK$50&gt;$AI55)),
SUMPRODUCT(INDEX($AL$12:$AN$35,,$AE55), INDEX($AO$12:$AU$35,,$AD55), 1 / ($AW$12:$AW$35*CM55), N($AK$12:$AK$35&gt;$AI55))
) / 1000</f>
        <v>0</v>
      </c>
      <c r="CP55" s="46">
        <f t="shared" si="37"/>
        <v>0</v>
      </c>
      <c r="CQ55" s="20"/>
    </row>
    <row r="56" spans="1:95" s="95" customFormat="1" ht="14.25" customHeight="1" x14ac:dyDescent="0.25">
      <c r="A56" s="36" t="b">
        <f t="shared" si="38"/>
        <v>0</v>
      </c>
      <c r="B56" s="94">
        <v>45</v>
      </c>
      <c r="C56" s="7"/>
      <c r="D56" s="7"/>
      <c r="E56" s="33"/>
      <c r="F56" s="8" t="str">
        <f>IF(ISBLANK(E56), "", VLOOKUP(E56, Z!$A$2:$C$4127, 3, FALSE))</f>
        <v/>
      </c>
      <c r="G56" s="44"/>
      <c r="H56" s="44"/>
      <c r="I56" s="107"/>
      <c r="J56" s="108"/>
      <c r="K56" s="34"/>
      <c r="L56" s="59"/>
      <c r="M56" s="58" t="str" cm="1">
        <f t="array" ref="M56">IF($K56&gt;0, INDEX(Clean,1+AG56,$B$1), "")</f>
        <v/>
      </c>
      <c r="N56" s="62"/>
      <c r="O56" s="62"/>
      <c r="P56" s="63"/>
      <c r="Q56" s="52">
        <f t="shared" si="7"/>
        <v>0</v>
      </c>
      <c r="R56" s="58" t="str" cm="1">
        <f t="array" ref="R56">IF($K56&gt;0, INDEX(Clean,1+AH56,$B$1), "")</f>
        <v/>
      </c>
      <c r="S56" s="62"/>
      <c r="T56" s="62"/>
      <c r="U56" s="63"/>
      <c r="V56" s="52">
        <f t="shared" si="8"/>
        <v>0</v>
      </c>
      <c r="W56" s="6"/>
      <c r="X56" s="7"/>
      <c r="Y56" s="33"/>
      <c r="Z56" s="8" t="str">
        <f>IF(ISBLANK(Y56), "", VLOOKUP(Y56, Z!$A$2:$C$4127, 3, FALSE))</f>
        <v/>
      </c>
      <c r="AA56" s="38"/>
      <c r="AB56" s="9">
        <f t="shared" si="39"/>
        <v>0</v>
      </c>
      <c r="AC56" s="20"/>
      <c r="AD56" s="41">
        <f t="shared" si="40"/>
        <v>1</v>
      </c>
      <c r="AE56" s="41">
        <f t="shared" si="41"/>
        <v>1</v>
      </c>
      <c r="AF56" s="41">
        <f t="shared" si="42"/>
        <v>0</v>
      </c>
      <c r="AG56" s="41">
        <v>1</v>
      </c>
      <c r="AH56" s="41">
        <v>0</v>
      </c>
      <c r="AI56" s="41">
        <f t="shared" si="43"/>
        <v>-100</v>
      </c>
      <c r="AJ56" s="20"/>
      <c r="AK56" s="41">
        <v>25</v>
      </c>
      <c r="AL56" s="50">
        <v>139</v>
      </c>
      <c r="AM56" s="50">
        <v>128</v>
      </c>
      <c r="AN56" s="50">
        <v>46</v>
      </c>
      <c r="AO56" s="48">
        <f t="shared" si="6"/>
        <v>0.375</v>
      </c>
      <c r="AP56" s="48">
        <f t="shared" si="6"/>
        <v>0.375</v>
      </c>
      <c r="AQ56" s="48" cm="1">
        <f t="array" ref="AQ56">MIN(INDEX(Use,AQ$10,5) + MAX(0, (1-INDEX(Use,AQ$10,5))*($AK56-5)/(35-5)), 1)</f>
        <v>0.8</v>
      </c>
      <c r="AR56" s="48" cm="1">
        <f t="array" ref="AR56">MIN(INDEX(Use,AR$10,5) + MAX(0, (1-INDEX(Use,AR$10,5))*($AK56-5)/(35-5)), 1)</f>
        <v>0.8666666666666667</v>
      </c>
      <c r="AS56" s="48" cm="1">
        <f t="array" ref="AS56">MIN(INDEX(Use,AS$10,5) + MAX(0, (1-INDEX(Use,AS$10,5))*($AK56-5)/(35-5)), 1)</f>
        <v>0.93333333333333335</v>
      </c>
      <c r="AT56" s="48" cm="1">
        <f t="array" ref="AT56">MIN(INDEX(Use,AT$10,5) + MAX(0, (1-INDEX(Use,AT$10,5))*($AK56-5)/(35-5)), 1)</f>
        <v>0.93333333333333335</v>
      </c>
      <c r="AU56" s="48" cm="1">
        <f t="array" ref="AU56">MIN(INDEX(Use,AU$10,5) + MAX(0, (1-INDEX(Use,AU$10,5))*($AK56-5)/(35-5)), 1)</f>
        <v>0.93333333333333335</v>
      </c>
      <c r="AV56" s="48">
        <v>1</v>
      </c>
      <c r="AW56" s="48">
        <v>1</v>
      </c>
      <c r="AX56" s="15"/>
      <c r="AY56" s="41" cm="1">
        <f t="array" ref="AY56">INDEX(Use, $AD56, 4)</f>
        <v>7</v>
      </c>
      <c r="AZ56" s="41">
        <f t="shared" si="9"/>
        <v>32</v>
      </c>
      <c r="BA56" s="41">
        <f t="shared" si="10"/>
        <v>13</v>
      </c>
      <c r="BB56" s="41">
        <f t="shared" si="11"/>
        <v>0</v>
      </c>
      <c r="BC56" s="57" cm="1">
        <f t="array" ref="BC56">K56/IF($L56&gt;0, INDEX($AO$12:$AU$66, $L56+20, $AD56), 1)</f>
        <v>0</v>
      </c>
      <c r="BD56" s="46">
        <f t="shared" si="12"/>
        <v>0</v>
      </c>
      <c r="BE56" s="41">
        <v>35</v>
      </c>
      <c r="BF56" s="46">
        <f t="shared" si="13"/>
        <v>52.55</v>
      </c>
      <c r="BG56" s="49">
        <f t="shared" si="14"/>
        <v>2.7676728869374316</v>
      </c>
      <c r="BH56" s="49" cm="1">
        <f t="array" ref="BH56">$BC56 * SUMPRODUCT(INDEX($AL$66:$AN$71,,$AE56),INDEX($AO$66:$AU$71,,$AD56), N($AK$66:$AK$71&gt;$AI56)) / BG56 / 1000</f>
        <v>0</v>
      </c>
      <c r="BI56" s="50">
        <f t="shared" si="15"/>
        <v>30</v>
      </c>
      <c r="BJ56" s="46">
        <f t="shared" si="16"/>
        <v>46.033333333333331</v>
      </c>
      <c r="BK56" s="49">
        <f t="shared" si="17"/>
        <v>3.2297395388556791</v>
      </c>
      <c r="BL56" s="49" cm="1">
        <f t="array" ref="BL56">$BC56 * IF($AD56&lt;=2,
SUMPRODUCT(INDEX($AL$61:$AN$65,,$AE56), INDEX($AO$61:$AU$65,,$AD56), 1 / ($AV$61:$AV$65*BK56 + (1-$AV$61:$AV$65)*BG56), N($AK$61:$AK$65&gt;$AI56)),
SUMPRODUCT(INDEX($AL$56:$AN$65,,$AE56), INDEX($AO$56:$AU$65,,$AD56), 1 / ($AW$56:$AW$65*BK56 + (1-$AW$56:$AW$65)*BG56), N($AK$56:$AK$65&gt;$AI56))
) / 1000</f>
        <v>0</v>
      </c>
      <c r="BM56" s="50">
        <f t="shared" si="18"/>
        <v>25</v>
      </c>
      <c r="BN56" s="46">
        <f t="shared" si="19"/>
        <v>39.516666666666666</v>
      </c>
      <c r="BO56" s="49">
        <f t="shared" si="20"/>
        <v>3.877011788826243</v>
      </c>
      <c r="BP56" s="49" cm="1">
        <f t="array" ref="BP56">$BC56 * IF($AD56&lt;=2,
SUMPRODUCT(INDEX($AL$56:$AN$60,,$AE56), INDEX($AO$56:$AU$60,,$AD56), 1 / ($AV$56:$AV$60*BO56 + (1-$AV$56:$AV$60)*BK56), N($AK$56:$AK$60&gt;$AI56)),
SUMPRODUCT(INDEX($AL$46:$AN$55,,$AE56), INDEX($AO$46:$AU$55,,$AD56), 1 / ($AW$46:$AW$55*BO56 + (1-$AW$46:$AW$55)*BK56), N($AK$46:$AK$55&gt;$AI56))
) / 1000</f>
        <v>0</v>
      </c>
      <c r="BQ56" s="50">
        <f t="shared" si="21"/>
        <v>20</v>
      </c>
      <c r="BR56" s="46">
        <f t="shared" si="22"/>
        <v>33</v>
      </c>
      <c r="BS56" s="49">
        <f t="shared" si="23"/>
        <v>4.8487499999999999</v>
      </c>
      <c r="BT56" s="49" cm="1">
        <f t="array" ref="BT56">$BC56 * IF($AD56&lt;=2,
SUMPRODUCT(INDEX($AL$51:$AN$55,,$AE56), INDEX($AO$51:$AU$55,,$AD56), 1 / ($AV$51:$AV$55*BS56 + (1-$AV$51:$AV$55)*BO56), N($AK$51:$AK$55&gt;$AI56)),
SUMPRODUCT(INDEX($AL$36:$AN$45,,$AE56), INDEX($AO$36:$AU$45,,$AD56), 1 / ($AW$36:$AW$45*BS56 + (1-$AW$36:$AW$45)*BO56), N($AK$36:$AK$45&gt;$AI56))
) / 1000</f>
        <v>0</v>
      </c>
      <c r="BU56" s="49" cm="1">
        <f t="array" ref="BU56">$BC56 * IF($AD56&lt;=2,
SUMPRODUCT(INDEX($AL$12:$AN$50,,$AE56), INDEX($AO$12:$AU$50,,$AD56), 1 / ($AV$12:$AV$50*BS56), N($AK$12:$AK$50&gt;$AI56)),
SUMPRODUCT(INDEX($AL$12:$AN$35,,$AE56), INDEX($AO$12:$AU$35,,$AD56), 1 / ($AW$12:$AW$35*BS56), N($AK$12:$AK$35&gt;$AI56))
) / 1000</f>
        <v>0</v>
      </c>
      <c r="BV56" s="46">
        <f t="shared" si="24"/>
        <v>0</v>
      </c>
      <c r="BW56" s="20"/>
      <c r="BX56" s="46">
        <f t="shared" si="25"/>
        <v>0</v>
      </c>
      <c r="BY56" s="41">
        <v>35</v>
      </c>
      <c r="BZ56" s="46">
        <f t="shared" si="26"/>
        <v>48</v>
      </c>
      <c r="CA56" s="49">
        <f t="shared" si="27"/>
        <v>3.0748170731707316</v>
      </c>
      <c r="CB56" s="49" cm="1">
        <f t="array" ref="CB56">$BC56 * SUMPRODUCT(INDEX($AL$66:$AN$71,,$AE56),INDEX($AO$66:$AU$71,,$AD56), N($AK$66:$AK$71&gt;$AI56)) / CA56 / 1000</f>
        <v>0</v>
      </c>
      <c r="CC56" s="50">
        <f t="shared" si="28"/>
        <v>30</v>
      </c>
      <c r="CD56" s="46">
        <f t="shared" si="29"/>
        <v>43</v>
      </c>
      <c r="CE56" s="49">
        <f t="shared" si="30"/>
        <v>3.5018750000000001</v>
      </c>
      <c r="CF56" s="49" cm="1">
        <f t="array" ref="CF56">$BC56 * IF($AD56&lt;=2,
SUMPRODUCT(INDEX($AL$61:$AN$65,,$AE56), INDEX($AO$61:$AU$65,,$AD56), 1 / ($AV$61:$AV$65*CE56 + (1-$AV$61:$AV$65)*CA56), N($AK$61:$AK$65&gt;$AI56)),
SUMPRODUCT(INDEX($AL$56:$AN$65,,$AE56), INDEX($AO$56:$AU$65,,$AD56), 1 / ($AW$56:$AW$65*CE56 + (1-$AW$56:$AW$65)*CA56), N($AK$56:$AK$65&gt;$AI56))
) / 1000</f>
        <v>0</v>
      </c>
      <c r="CG56" s="50">
        <f t="shared" si="31"/>
        <v>25</v>
      </c>
      <c r="CH56" s="46">
        <f t="shared" si="32"/>
        <v>38</v>
      </c>
      <c r="CI56" s="49">
        <f t="shared" si="33"/>
        <v>4.0666935483870965</v>
      </c>
      <c r="CJ56" s="49" cm="1">
        <f t="array" ref="CJ56">$BC56 * IF($AD56&lt;=2,
SUMPRODUCT(INDEX($AL$56:$AN$60,,$AE56), INDEX($AO$56:$AU$60,,$AD56), 1 / ($AV$56:$AV$60*CI56 + (1-$AV$56:$AV$60)*CE56), N($AK$56:$AK$60&gt;$AI56)),
SUMPRODUCT(INDEX($AL$46:$AN$55,,$AE56), INDEX($AO$46:$AU$55,,$AD56), 1 / ($AW$46:$AW$55*CI56 + (1-$AW$46:$AW$55)*CE56), N($AK$46:$AK$55&gt;$AI56))
) / 1000</f>
        <v>0</v>
      </c>
      <c r="CK56" s="50">
        <f t="shared" si="34"/>
        <v>20</v>
      </c>
      <c r="CL56" s="46">
        <f t="shared" si="35"/>
        <v>33</v>
      </c>
      <c r="CM56" s="49">
        <f t="shared" si="36"/>
        <v>4.8487499999999999</v>
      </c>
      <c r="CN56" s="49" cm="1">
        <f t="array" ref="CN56">$BC56 * IF($AD56&lt;=2,
SUMPRODUCT(INDEX($AL$51:$AN$55,,$AE56), INDEX($AO$51:$AU$55,,$AD56), 1 / ($AV$51:$AV$55*CM56 + (1-$AV$51:$AV$55)*CI56), N($AK$51:$AK$55&gt;$AI56)),
SUMPRODUCT(INDEX($AL$36:$AN$45,,$AE56), INDEX($AO$36:$AU$45,,$AD56), 1 / ($AW$36:$AW$45*CM56 + (1-$AW$36:$AW$45)*CI56), N($AK$36:$AK$45&gt;$AI56))
) / 1000</f>
        <v>0</v>
      </c>
      <c r="CO56" s="49" cm="1">
        <f t="array" ref="CO56">$BC56 * IF($AD56&lt;=2,
SUMPRODUCT(INDEX($AL$12:$AN$50,,$AE56), INDEX($AO$12:$AU$50,,$AD56), 1 / ($AV$12:$AV$50*CM56), N($AK$12:$AK$50&gt;$AI56)),
SUMPRODUCT(INDEX($AL$12:$AN$35,,$AE56), INDEX($AO$12:$AU$35,,$AD56), 1 / ($AW$12:$AW$35*CM56), N($AK$12:$AK$35&gt;$AI56))
) / 1000</f>
        <v>0</v>
      </c>
      <c r="CP56" s="46">
        <f t="shared" si="37"/>
        <v>0</v>
      </c>
      <c r="CQ56" s="20"/>
    </row>
    <row r="57" spans="1:95" s="95" customFormat="1" ht="14.25" customHeight="1" x14ac:dyDescent="0.25">
      <c r="A57" s="36" t="b">
        <f t="shared" si="38"/>
        <v>0</v>
      </c>
      <c r="B57" s="94">
        <v>46</v>
      </c>
      <c r="C57" s="7"/>
      <c r="D57" s="7"/>
      <c r="E57" s="33"/>
      <c r="F57" s="8" t="str">
        <f>IF(ISBLANK(E57), "", VLOOKUP(E57, Z!$A$2:$C$4127, 3, FALSE))</f>
        <v/>
      </c>
      <c r="G57" s="44"/>
      <c r="H57" s="44"/>
      <c r="I57" s="107"/>
      <c r="J57" s="108"/>
      <c r="K57" s="34"/>
      <c r="L57" s="59"/>
      <c r="M57" s="58" t="str" cm="1">
        <f t="array" ref="M57">IF($K57&gt;0, INDEX(Clean,1+AG57,$B$1), "")</f>
        <v/>
      </c>
      <c r="N57" s="62"/>
      <c r="O57" s="62"/>
      <c r="P57" s="63"/>
      <c r="Q57" s="52">
        <f t="shared" si="7"/>
        <v>0</v>
      </c>
      <c r="R57" s="58" t="str" cm="1">
        <f t="array" ref="R57">IF($K57&gt;0, INDEX(Clean,1+AH57,$B$1), "")</f>
        <v/>
      </c>
      <c r="S57" s="62"/>
      <c r="T57" s="62"/>
      <c r="U57" s="63"/>
      <c r="V57" s="52">
        <f t="shared" si="8"/>
        <v>0</v>
      </c>
      <c r="W57" s="6"/>
      <c r="X57" s="7"/>
      <c r="Y57" s="33"/>
      <c r="Z57" s="8" t="str">
        <f>IF(ISBLANK(Y57), "", VLOOKUP(Y57, Z!$A$2:$C$4127, 3, FALSE))</f>
        <v/>
      </c>
      <c r="AA57" s="38"/>
      <c r="AB57" s="9">
        <f t="shared" si="39"/>
        <v>0</v>
      </c>
      <c r="AC57" s="20"/>
      <c r="AD57" s="41">
        <f t="shared" si="40"/>
        <v>1</v>
      </c>
      <c r="AE57" s="41">
        <f t="shared" si="41"/>
        <v>1</v>
      </c>
      <c r="AF57" s="41">
        <f t="shared" si="42"/>
        <v>0</v>
      </c>
      <c r="AG57" s="41">
        <v>1</v>
      </c>
      <c r="AH57" s="41">
        <v>0</v>
      </c>
      <c r="AI57" s="41">
        <f t="shared" si="43"/>
        <v>-100</v>
      </c>
      <c r="AJ57" s="20"/>
      <c r="AK57" s="41">
        <v>26</v>
      </c>
      <c r="AL57" s="50">
        <v>149</v>
      </c>
      <c r="AM57" s="50">
        <v>99</v>
      </c>
      <c r="AN57" s="50">
        <v>47</v>
      </c>
      <c r="AO57" s="48">
        <f t="shared" si="6"/>
        <v>0.4375</v>
      </c>
      <c r="AP57" s="48">
        <f t="shared" si="6"/>
        <v>0.4375</v>
      </c>
      <c r="AQ57" s="48" cm="1">
        <f t="array" ref="AQ57">MIN(INDEX(Use,AQ$10,5) + MAX(0, (1-INDEX(Use,AQ$10,5))*($AK57-5)/(35-5)), 1)</f>
        <v>0.82000000000000006</v>
      </c>
      <c r="AR57" s="48" cm="1">
        <f t="array" ref="AR57">MIN(INDEX(Use,AR$10,5) + MAX(0, (1-INDEX(Use,AR$10,5))*($AK57-5)/(35-5)), 1)</f>
        <v>0.88</v>
      </c>
      <c r="AS57" s="48" cm="1">
        <f t="array" ref="AS57">MIN(INDEX(Use,AS$10,5) + MAX(0, (1-INDEX(Use,AS$10,5))*($AK57-5)/(35-5)), 1)</f>
        <v>0.94000000000000006</v>
      </c>
      <c r="AT57" s="48" cm="1">
        <f t="array" ref="AT57">MIN(INDEX(Use,AT$10,5) + MAX(0, (1-INDEX(Use,AT$10,5))*($AK57-5)/(35-5)), 1)</f>
        <v>0.94000000000000006</v>
      </c>
      <c r="AU57" s="48" cm="1">
        <f t="array" ref="AU57">MIN(INDEX(Use,AU$10,5) + MAX(0, (1-INDEX(Use,AU$10,5))*($AK57-5)/(35-5)), 1)</f>
        <v>0.94000000000000006</v>
      </c>
      <c r="AV57" s="48">
        <v>0.8</v>
      </c>
      <c r="AW57" s="48">
        <v>0.9</v>
      </c>
      <c r="AX57" s="15"/>
      <c r="AY57" s="41" cm="1">
        <f t="array" ref="AY57">INDEX(Use, $AD57, 4)</f>
        <v>7</v>
      </c>
      <c r="AZ57" s="41">
        <f t="shared" si="9"/>
        <v>32</v>
      </c>
      <c r="BA57" s="41">
        <f t="shared" si="10"/>
        <v>13</v>
      </c>
      <c r="BB57" s="41">
        <f t="shared" si="11"/>
        <v>0</v>
      </c>
      <c r="BC57" s="57" cm="1">
        <f t="array" ref="BC57">K57/IF($L57&gt;0, INDEX($AO$12:$AU$66, $L57+20, $AD57), 1)</f>
        <v>0</v>
      </c>
      <c r="BD57" s="46">
        <f t="shared" si="12"/>
        <v>0</v>
      </c>
      <c r="BE57" s="41">
        <v>35</v>
      </c>
      <c r="BF57" s="46">
        <f t="shared" si="13"/>
        <v>52.55</v>
      </c>
      <c r="BG57" s="49">
        <f t="shared" si="14"/>
        <v>2.7676728869374316</v>
      </c>
      <c r="BH57" s="49" cm="1">
        <f t="array" ref="BH57">$BC57 * SUMPRODUCT(INDEX($AL$66:$AN$71,,$AE57),INDEX($AO$66:$AU$71,,$AD57), N($AK$66:$AK$71&gt;$AI57)) / BG57 / 1000</f>
        <v>0</v>
      </c>
      <c r="BI57" s="50">
        <f t="shared" si="15"/>
        <v>30</v>
      </c>
      <c r="BJ57" s="46">
        <f t="shared" si="16"/>
        <v>46.033333333333331</v>
      </c>
      <c r="BK57" s="49">
        <f t="shared" si="17"/>
        <v>3.2297395388556791</v>
      </c>
      <c r="BL57" s="49" cm="1">
        <f t="array" ref="BL57">$BC57 * IF($AD57&lt;=2,
SUMPRODUCT(INDEX($AL$61:$AN$65,,$AE57), INDEX($AO$61:$AU$65,,$AD57), 1 / ($AV$61:$AV$65*BK57 + (1-$AV$61:$AV$65)*BG57), N($AK$61:$AK$65&gt;$AI57)),
SUMPRODUCT(INDEX($AL$56:$AN$65,,$AE57), INDEX($AO$56:$AU$65,,$AD57), 1 / ($AW$56:$AW$65*BK57 + (1-$AW$56:$AW$65)*BG57), N($AK$56:$AK$65&gt;$AI57))
) / 1000</f>
        <v>0</v>
      </c>
      <c r="BM57" s="50">
        <f t="shared" si="18"/>
        <v>25</v>
      </c>
      <c r="BN57" s="46">
        <f t="shared" si="19"/>
        <v>39.516666666666666</v>
      </c>
      <c r="BO57" s="49">
        <f t="shared" si="20"/>
        <v>3.877011788826243</v>
      </c>
      <c r="BP57" s="49" cm="1">
        <f t="array" ref="BP57">$BC57 * IF($AD57&lt;=2,
SUMPRODUCT(INDEX($AL$56:$AN$60,,$AE57), INDEX($AO$56:$AU$60,,$AD57), 1 / ($AV$56:$AV$60*BO57 + (1-$AV$56:$AV$60)*BK57), N($AK$56:$AK$60&gt;$AI57)),
SUMPRODUCT(INDEX($AL$46:$AN$55,,$AE57), INDEX($AO$46:$AU$55,,$AD57), 1 / ($AW$46:$AW$55*BO57 + (1-$AW$46:$AW$55)*BK57), N($AK$46:$AK$55&gt;$AI57))
) / 1000</f>
        <v>0</v>
      </c>
      <c r="BQ57" s="50">
        <f t="shared" si="21"/>
        <v>20</v>
      </c>
      <c r="BR57" s="46">
        <f t="shared" si="22"/>
        <v>33</v>
      </c>
      <c r="BS57" s="49">
        <f t="shared" si="23"/>
        <v>4.8487499999999999</v>
      </c>
      <c r="BT57" s="49" cm="1">
        <f t="array" ref="BT57">$BC57 * IF($AD57&lt;=2,
SUMPRODUCT(INDEX($AL$51:$AN$55,,$AE57), INDEX($AO$51:$AU$55,,$AD57), 1 / ($AV$51:$AV$55*BS57 + (1-$AV$51:$AV$55)*BO57), N($AK$51:$AK$55&gt;$AI57)),
SUMPRODUCT(INDEX($AL$36:$AN$45,,$AE57), INDEX($AO$36:$AU$45,,$AD57), 1 / ($AW$36:$AW$45*BS57 + (1-$AW$36:$AW$45)*BO57), N($AK$36:$AK$45&gt;$AI57))
) / 1000</f>
        <v>0</v>
      </c>
      <c r="BU57" s="49" cm="1">
        <f t="array" ref="BU57">$BC57 * IF($AD57&lt;=2,
SUMPRODUCT(INDEX($AL$12:$AN$50,,$AE57), INDEX($AO$12:$AU$50,,$AD57), 1 / ($AV$12:$AV$50*BS57), N($AK$12:$AK$50&gt;$AI57)),
SUMPRODUCT(INDEX($AL$12:$AN$35,,$AE57), INDEX($AO$12:$AU$35,,$AD57), 1 / ($AW$12:$AW$35*BS57), N($AK$12:$AK$35&gt;$AI57))
) / 1000</f>
        <v>0</v>
      </c>
      <c r="BV57" s="46">
        <f t="shared" si="24"/>
        <v>0</v>
      </c>
      <c r="BW57" s="20"/>
      <c r="BX57" s="46">
        <f t="shared" si="25"/>
        <v>0</v>
      </c>
      <c r="BY57" s="41">
        <v>35</v>
      </c>
      <c r="BZ57" s="46">
        <f t="shared" si="26"/>
        <v>48</v>
      </c>
      <c r="CA57" s="49">
        <f t="shared" si="27"/>
        <v>3.0748170731707316</v>
      </c>
      <c r="CB57" s="49" cm="1">
        <f t="array" ref="CB57">$BC57 * SUMPRODUCT(INDEX($AL$66:$AN$71,,$AE57),INDEX($AO$66:$AU$71,,$AD57), N($AK$66:$AK$71&gt;$AI57)) / CA57 / 1000</f>
        <v>0</v>
      </c>
      <c r="CC57" s="50">
        <f t="shared" si="28"/>
        <v>30</v>
      </c>
      <c r="CD57" s="46">
        <f t="shared" si="29"/>
        <v>43</v>
      </c>
      <c r="CE57" s="49">
        <f t="shared" si="30"/>
        <v>3.5018750000000001</v>
      </c>
      <c r="CF57" s="49" cm="1">
        <f t="array" ref="CF57">$BC57 * IF($AD57&lt;=2,
SUMPRODUCT(INDEX($AL$61:$AN$65,,$AE57), INDEX($AO$61:$AU$65,,$AD57), 1 / ($AV$61:$AV$65*CE57 + (1-$AV$61:$AV$65)*CA57), N($AK$61:$AK$65&gt;$AI57)),
SUMPRODUCT(INDEX($AL$56:$AN$65,,$AE57), INDEX($AO$56:$AU$65,,$AD57), 1 / ($AW$56:$AW$65*CE57 + (1-$AW$56:$AW$65)*CA57), N($AK$56:$AK$65&gt;$AI57))
) / 1000</f>
        <v>0</v>
      </c>
      <c r="CG57" s="50">
        <f t="shared" si="31"/>
        <v>25</v>
      </c>
      <c r="CH57" s="46">
        <f t="shared" si="32"/>
        <v>38</v>
      </c>
      <c r="CI57" s="49">
        <f t="shared" si="33"/>
        <v>4.0666935483870965</v>
      </c>
      <c r="CJ57" s="49" cm="1">
        <f t="array" ref="CJ57">$BC57 * IF($AD57&lt;=2,
SUMPRODUCT(INDEX($AL$56:$AN$60,,$AE57), INDEX($AO$56:$AU$60,,$AD57), 1 / ($AV$56:$AV$60*CI57 + (1-$AV$56:$AV$60)*CE57), N($AK$56:$AK$60&gt;$AI57)),
SUMPRODUCT(INDEX($AL$46:$AN$55,,$AE57), INDEX($AO$46:$AU$55,,$AD57), 1 / ($AW$46:$AW$55*CI57 + (1-$AW$46:$AW$55)*CE57), N($AK$46:$AK$55&gt;$AI57))
) / 1000</f>
        <v>0</v>
      </c>
      <c r="CK57" s="50">
        <f t="shared" si="34"/>
        <v>20</v>
      </c>
      <c r="CL57" s="46">
        <f t="shared" si="35"/>
        <v>33</v>
      </c>
      <c r="CM57" s="49">
        <f t="shared" si="36"/>
        <v>4.8487499999999999</v>
      </c>
      <c r="CN57" s="49" cm="1">
        <f t="array" ref="CN57">$BC57 * IF($AD57&lt;=2,
SUMPRODUCT(INDEX($AL$51:$AN$55,,$AE57), INDEX($AO$51:$AU$55,,$AD57), 1 / ($AV$51:$AV$55*CM57 + (1-$AV$51:$AV$55)*CI57), N($AK$51:$AK$55&gt;$AI57)),
SUMPRODUCT(INDEX($AL$36:$AN$45,,$AE57), INDEX($AO$36:$AU$45,,$AD57), 1 / ($AW$36:$AW$45*CM57 + (1-$AW$36:$AW$45)*CI57), N($AK$36:$AK$45&gt;$AI57))
) / 1000</f>
        <v>0</v>
      </c>
      <c r="CO57" s="49" cm="1">
        <f t="array" ref="CO57">$BC57 * IF($AD57&lt;=2,
SUMPRODUCT(INDEX($AL$12:$AN$50,,$AE57), INDEX($AO$12:$AU$50,,$AD57), 1 / ($AV$12:$AV$50*CM57), N($AK$12:$AK$50&gt;$AI57)),
SUMPRODUCT(INDEX($AL$12:$AN$35,,$AE57), INDEX($AO$12:$AU$35,,$AD57), 1 / ($AW$12:$AW$35*CM57), N($AK$12:$AK$35&gt;$AI57))
) / 1000</f>
        <v>0</v>
      </c>
      <c r="CP57" s="46">
        <f t="shared" si="37"/>
        <v>0</v>
      </c>
      <c r="CQ57" s="20"/>
    </row>
    <row r="58" spans="1:95" s="95" customFormat="1" ht="14.25" customHeight="1" x14ac:dyDescent="0.25">
      <c r="A58" s="36" t="b">
        <f t="shared" si="38"/>
        <v>0</v>
      </c>
      <c r="B58" s="94">
        <v>47</v>
      </c>
      <c r="C58" s="7"/>
      <c r="D58" s="7"/>
      <c r="E58" s="33"/>
      <c r="F58" s="8" t="str">
        <f>IF(ISBLANK(E58), "", VLOOKUP(E58, Z!$A$2:$C$4127, 3, FALSE))</f>
        <v/>
      </c>
      <c r="G58" s="44"/>
      <c r="H58" s="44"/>
      <c r="I58" s="107"/>
      <c r="J58" s="108"/>
      <c r="K58" s="34"/>
      <c r="L58" s="59"/>
      <c r="M58" s="58" t="str" cm="1">
        <f t="array" ref="M58">IF($K58&gt;0, INDEX(Clean,1+AG58,$B$1), "")</f>
        <v/>
      </c>
      <c r="N58" s="62"/>
      <c r="O58" s="62"/>
      <c r="P58" s="63"/>
      <c r="Q58" s="52">
        <f t="shared" si="7"/>
        <v>0</v>
      </c>
      <c r="R58" s="58" t="str" cm="1">
        <f t="array" ref="R58">IF($K58&gt;0, INDEX(Clean,1+AH58,$B$1), "")</f>
        <v/>
      </c>
      <c r="S58" s="62"/>
      <c r="T58" s="62"/>
      <c r="U58" s="63"/>
      <c r="V58" s="52">
        <f t="shared" si="8"/>
        <v>0</v>
      </c>
      <c r="W58" s="6"/>
      <c r="X58" s="7"/>
      <c r="Y58" s="33"/>
      <c r="Z58" s="8" t="str">
        <f>IF(ISBLANK(Y58), "", VLOOKUP(Y58, Z!$A$2:$C$4127, 3, FALSE))</f>
        <v/>
      </c>
      <c r="AA58" s="38"/>
      <c r="AB58" s="9">
        <f t="shared" si="39"/>
        <v>0</v>
      </c>
      <c r="AC58" s="20"/>
      <c r="AD58" s="41">
        <f t="shared" si="40"/>
        <v>1</v>
      </c>
      <c r="AE58" s="41">
        <f t="shared" si="41"/>
        <v>1</v>
      </c>
      <c r="AF58" s="41">
        <f t="shared" si="42"/>
        <v>0</v>
      </c>
      <c r="AG58" s="41">
        <v>1</v>
      </c>
      <c r="AH58" s="41">
        <v>0</v>
      </c>
      <c r="AI58" s="41">
        <f t="shared" si="43"/>
        <v>-100</v>
      </c>
      <c r="AJ58" s="20"/>
      <c r="AK58" s="41">
        <v>27</v>
      </c>
      <c r="AL58" s="50">
        <v>113</v>
      </c>
      <c r="AM58" s="50">
        <v>87</v>
      </c>
      <c r="AN58" s="50">
        <v>29</v>
      </c>
      <c r="AO58" s="48">
        <f t="shared" si="6"/>
        <v>0.5</v>
      </c>
      <c r="AP58" s="48">
        <f t="shared" si="6"/>
        <v>0.5</v>
      </c>
      <c r="AQ58" s="48" cm="1">
        <f t="array" ref="AQ58">MIN(INDEX(Use,AQ$10,5) + MAX(0, (1-INDEX(Use,AQ$10,5))*($AK58-5)/(35-5)), 1)</f>
        <v>0.84000000000000008</v>
      </c>
      <c r="AR58" s="48" cm="1">
        <f t="array" ref="AR58">MIN(INDEX(Use,AR$10,5) + MAX(0, (1-INDEX(Use,AR$10,5))*($AK58-5)/(35-5)), 1)</f>
        <v>0.89333333333333331</v>
      </c>
      <c r="AS58" s="48" cm="1">
        <f t="array" ref="AS58">MIN(INDEX(Use,AS$10,5) + MAX(0, (1-INDEX(Use,AS$10,5))*($AK58-5)/(35-5)), 1)</f>
        <v>0.94666666666666666</v>
      </c>
      <c r="AT58" s="48" cm="1">
        <f t="array" ref="AT58">MIN(INDEX(Use,AT$10,5) + MAX(0, (1-INDEX(Use,AT$10,5))*($AK58-5)/(35-5)), 1)</f>
        <v>0.94666666666666666</v>
      </c>
      <c r="AU58" s="48" cm="1">
        <f t="array" ref="AU58">MIN(INDEX(Use,AU$10,5) + MAX(0, (1-INDEX(Use,AU$10,5))*($AK58-5)/(35-5)), 1)</f>
        <v>0.94666666666666666</v>
      </c>
      <c r="AV58" s="48">
        <v>0.6</v>
      </c>
      <c r="AW58" s="48">
        <v>0.8</v>
      </c>
      <c r="AX58" s="15"/>
      <c r="AY58" s="41" cm="1">
        <f t="array" ref="AY58">INDEX(Use, $AD58, 4)</f>
        <v>7</v>
      </c>
      <c r="AZ58" s="41">
        <f t="shared" si="9"/>
        <v>32</v>
      </c>
      <c r="BA58" s="41">
        <f t="shared" si="10"/>
        <v>13</v>
      </c>
      <c r="BB58" s="41">
        <f t="shared" si="11"/>
        <v>0</v>
      </c>
      <c r="BC58" s="57" cm="1">
        <f t="array" ref="BC58">K58/IF($L58&gt;0, INDEX($AO$12:$AU$66, $L58+20, $AD58), 1)</f>
        <v>0</v>
      </c>
      <c r="BD58" s="46">
        <f t="shared" si="12"/>
        <v>0</v>
      </c>
      <c r="BE58" s="41">
        <v>35</v>
      </c>
      <c r="BF58" s="46">
        <f t="shared" si="13"/>
        <v>52.55</v>
      </c>
      <c r="BG58" s="49">
        <f t="shared" si="14"/>
        <v>2.7676728869374316</v>
      </c>
      <c r="BH58" s="49" cm="1">
        <f t="array" ref="BH58">$BC58 * SUMPRODUCT(INDEX($AL$66:$AN$71,,$AE58),INDEX($AO$66:$AU$71,,$AD58), N($AK$66:$AK$71&gt;$AI58)) / BG58 / 1000</f>
        <v>0</v>
      </c>
      <c r="BI58" s="50">
        <f t="shared" si="15"/>
        <v>30</v>
      </c>
      <c r="BJ58" s="46">
        <f t="shared" si="16"/>
        <v>46.033333333333331</v>
      </c>
      <c r="BK58" s="49">
        <f t="shared" si="17"/>
        <v>3.2297395388556791</v>
      </c>
      <c r="BL58" s="49" cm="1">
        <f t="array" ref="BL58">$BC58 * IF($AD58&lt;=2,
SUMPRODUCT(INDEX($AL$61:$AN$65,,$AE58), INDEX($AO$61:$AU$65,,$AD58), 1 / ($AV$61:$AV$65*BK58 + (1-$AV$61:$AV$65)*BG58), N($AK$61:$AK$65&gt;$AI58)),
SUMPRODUCT(INDEX($AL$56:$AN$65,,$AE58), INDEX($AO$56:$AU$65,,$AD58), 1 / ($AW$56:$AW$65*BK58 + (1-$AW$56:$AW$65)*BG58), N($AK$56:$AK$65&gt;$AI58))
) / 1000</f>
        <v>0</v>
      </c>
      <c r="BM58" s="50">
        <f t="shared" si="18"/>
        <v>25</v>
      </c>
      <c r="BN58" s="46">
        <f t="shared" si="19"/>
        <v>39.516666666666666</v>
      </c>
      <c r="BO58" s="49">
        <f t="shared" si="20"/>
        <v>3.877011788826243</v>
      </c>
      <c r="BP58" s="49" cm="1">
        <f t="array" ref="BP58">$BC58 * IF($AD58&lt;=2,
SUMPRODUCT(INDEX($AL$56:$AN$60,,$AE58), INDEX($AO$56:$AU$60,,$AD58), 1 / ($AV$56:$AV$60*BO58 + (1-$AV$56:$AV$60)*BK58), N($AK$56:$AK$60&gt;$AI58)),
SUMPRODUCT(INDEX($AL$46:$AN$55,,$AE58), INDEX($AO$46:$AU$55,,$AD58), 1 / ($AW$46:$AW$55*BO58 + (1-$AW$46:$AW$55)*BK58), N($AK$46:$AK$55&gt;$AI58))
) / 1000</f>
        <v>0</v>
      </c>
      <c r="BQ58" s="50">
        <f t="shared" si="21"/>
        <v>20</v>
      </c>
      <c r="BR58" s="46">
        <f t="shared" si="22"/>
        <v>33</v>
      </c>
      <c r="BS58" s="49">
        <f t="shared" si="23"/>
        <v>4.8487499999999999</v>
      </c>
      <c r="BT58" s="49" cm="1">
        <f t="array" ref="BT58">$BC58 * IF($AD58&lt;=2,
SUMPRODUCT(INDEX($AL$51:$AN$55,,$AE58), INDEX($AO$51:$AU$55,,$AD58), 1 / ($AV$51:$AV$55*BS58 + (1-$AV$51:$AV$55)*BO58), N($AK$51:$AK$55&gt;$AI58)),
SUMPRODUCT(INDEX($AL$36:$AN$45,,$AE58), INDEX($AO$36:$AU$45,,$AD58), 1 / ($AW$36:$AW$45*BS58 + (1-$AW$36:$AW$45)*BO58), N($AK$36:$AK$45&gt;$AI58))
) / 1000</f>
        <v>0</v>
      </c>
      <c r="BU58" s="49" cm="1">
        <f t="array" ref="BU58">$BC58 * IF($AD58&lt;=2,
SUMPRODUCT(INDEX($AL$12:$AN$50,,$AE58), INDEX($AO$12:$AU$50,,$AD58), 1 / ($AV$12:$AV$50*BS58), N($AK$12:$AK$50&gt;$AI58)),
SUMPRODUCT(INDEX($AL$12:$AN$35,,$AE58), INDEX($AO$12:$AU$35,,$AD58), 1 / ($AW$12:$AW$35*BS58), N($AK$12:$AK$35&gt;$AI58))
) / 1000</f>
        <v>0</v>
      </c>
      <c r="BV58" s="46">
        <f t="shared" si="24"/>
        <v>0</v>
      </c>
      <c r="BW58" s="20"/>
      <c r="BX58" s="46">
        <f t="shared" si="25"/>
        <v>0</v>
      </c>
      <c r="BY58" s="41">
        <v>35</v>
      </c>
      <c r="BZ58" s="46">
        <f t="shared" si="26"/>
        <v>48</v>
      </c>
      <c r="CA58" s="49">
        <f t="shared" si="27"/>
        <v>3.0748170731707316</v>
      </c>
      <c r="CB58" s="49" cm="1">
        <f t="array" ref="CB58">$BC58 * SUMPRODUCT(INDEX($AL$66:$AN$71,,$AE58),INDEX($AO$66:$AU$71,,$AD58), N($AK$66:$AK$71&gt;$AI58)) / CA58 / 1000</f>
        <v>0</v>
      </c>
      <c r="CC58" s="50">
        <f t="shared" si="28"/>
        <v>30</v>
      </c>
      <c r="CD58" s="46">
        <f t="shared" si="29"/>
        <v>43</v>
      </c>
      <c r="CE58" s="49">
        <f t="shared" si="30"/>
        <v>3.5018750000000001</v>
      </c>
      <c r="CF58" s="49" cm="1">
        <f t="array" ref="CF58">$BC58 * IF($AD58&lt;=2,
SUMPRODUCT(INDEX($AL$61:$AN$65,,$AE58), INDEX($AO$61:$AU$65,,$AD58), 1 / ($AV$61:$AV$65*CE58 + (1-$AV$61:$AV$65)*CA58), N($AK$61:$AK$65&gt;$AI58)),
SUMPRODUCT(INDEX($AL$56:$AN$65,,$AE58), INDEX($AO$56:$AU$65,,$AD58), 1 / ($AW$56:$AW$65*CE58 + (1-$AW$56:$AW$65)*CA58), N($AK$56:$AK$65&gt;$AI58))
) / 1000</f>
        <v>0</v>
      </c>
      <c r="CG58" s="50">
        <f t="shared" si="31"/>
        <v>25</v>
      </c>
      <c r="CH58" s="46">
        <f t="shared" si="32"/>
        <v>38</v>
      </c>
      <c r="CI58" s="49">
        <f t="shared" si="33"/>
        <v>4.0666935483870965</v>
      </c>
      <c r="CJ58" s="49" cm="1">
        <f t="array" ref="CJ58">$BC58 * IF($AD58&lt;=2,
SUMPRODUCT(INDEX($AL$56:$AN$60,,$AE58), INDEX($AO$56:$AU$60,,$AD58), 1 / ($AV$56:$AV$60*CI58 + (1-$AV$56:$AV$60)*CE58), N($AK$56:$AK$60&gt;$AI58)),
SUMPRODUCT(INDEX($AL$46:$AN$55,,$AE58), INDEX($AO$46:$AU$55,,$AD58), 1 / ($AW$46:$AW$55*CI58 + (1-$AW$46:$AW$55)*CE58), N($AK$46:$AK$55&gt;$AI58))
) / 1000</f>
        <v>0</v>
      </c>
      <c r="CK58" s="50">
        <f t="shared" si="34"/>
        <v>20</v>
      </c>
      <c r="CL58" s="46">
        <f t="shared" si="35"/>
        <v>33</v>
      </c>
      <c r="CM58" s="49">
        <f t="shared" si="36"/>
        <v>4.8487499999999999</v>
      </c>
      <c r="CN58" s="49" cm="1">
        <f t="array" ref="CN58">$BC58 * IF($AD58&lt;=2,
SUMPRODUCT(INDEX($AL$51:$AN$55,,$AE58), INDEX($AO$51:$AU$55,,$AD58), 1 / ($AV$51:$AV$55*CM58 + (1-$AV$51:$AV$55)*CI58), N($AK$51:$AK$55&gt;$AI58)),
SUMPRODUCT(INDEX($AL$36:$AN$45,,$AE58), INDEX($AO$36:$AU$45,,$AD58), 1 / ($AW$36:$AW$45*CM58 + (1-$AW$36:$AW$45)*CI58), N($AK$36:$AK$45&gt;$AI58))
) / 1000</f>
        <v>0</v>
      </c>
      <c r="CO58" s="49" cm="1">
        <f t="array" ref="CO58">$BC58 * IF($AD58&lt;=2,
SUMPRODUCT(INDEX($AL$12:$AN$50,,$AE58), INDEX($AO$12:$AU$50,,$AD58), 1 / ($AV$12:$AV$50*CM58), N($AK$12:$AK$50&gt;$AI58)),
SUMPRODUCT(INDEX($AL$12:$AN$35,,$AE58), INDEX($AO$12:$AU$35,,$AD58), 1 / ($AW$12:$AW$35*CM58), N($AK$12:$AK$35&gt;$AI58))
) / 1000</f>
        <v>0</v>
      </c>
      <c r="CP58" s="46">
        <f t="shared" si="37"/>
        <v>0</v>
      </c>
      <c r="CQ58" s="20"/>
    </row>
    <row r="59" spans="1:95" s="95" customFormat="1" ht="14.25" customHeight="1" x14ac:dyDescent="0.25">
      <c r="A59" s="36" t="b">
        <f t="shared" si="38"/>
        <v>0</v>
      </c>
      <c r="B59" s="94">
        <v>48</v>
      </c>
      <c r="C59" s="7"/>
      <c r="D59" s="7"/>
      <c r="E59" s="33"/>
      <c r="F59" s="8" t="str">
        <f>IF(ISBLANK(E59), "", VLOOKUP(E59, Z!$A$2:$C$4127, 3, FALSE))</f>
        <v/>
      </c>
      <c r="G59" s="44"/>
      <c r="H59" s="44"/>
      <c r="I59" s="107"/>
      <c r="J59" s="108"/>
      <c r="K59" s="34"/>
      <c r="L59" s="59"/>
      <c r="M59" s="58" t="str" cm="1">
        <f t="array" ref="M59">IF($K59&gt;0, INDEX(Clean,1+AG59,$B$1), "")</f>
        <v/>
      </c>
      <c r="N59" s="62"/>
      <c r="O59" s="62"/>
      <c r="P59" s="63"/>
      <c r="Q59" s="52">
        <f t="shared" si="7"/>
        <v>0</v>
      </c>
      <c r="R59" s="58" t="str" cm="1">
        <f t="array" ref="R59">IF($K59&gt;0, INDEX(Clean,1+AH59,$B$1), "")</f>
        <v/>
      </c>
      <c r="S59" s="62"/>
      <c r="T59" s="62"/>
      <c r="U59" s="63"/>
      <c r="V59" s="52">
        <f t="shared" si="8"/>
        <v>0</v>
      </c>
      <c r="W59" s="6"/>
      <c r="X59" s="7"/>
      <c r="Y59" s="33"/>
      <c r="Z59" s="8" t="str">
        <f>IF(ISBLANK(Y59), "", VLOOKUP(Y59, Z!$A$2:$C$4127, 3, FALSE))</f>
        <v/>
      </c>
      <c r="AA59" s="38"/>
      <c r="AB59" s="9">
        <f t="shared" si="39"/>
        <v>0</v>
      </c>
      <c r="AC59" s="20"/>
      <c r="AD59" s="41">
        <f t="shared" si="40"/>
        <v>1</v>
      </c>
      <c r="AE59" s="41">
        <f t="shared" si="41"/>
        <v>1</v>
      </c>
      <c r="AF59" s="41">
        <f t="shared" si="42"/>
        <v>0</v>
      </c>
      <c r="AG59" s="41">
        <v>1</v>
      </c>
      <c r="AH59" s="41">
        <v>0</v>
      </c>
      <c r="AI59" s="41">
        <f t="shared" si="43"/>
        <v>-100</v>
      </c>
      <c r="AJ59" s="20"/>
      <c r="AK59" s="41">
        <v>28</v>
      </c>
      <c r="AL59" s="50">
        <v>70</v>
      </c>
      <c r="AM59" s="50">
        <v>59</v>
      </c>
      <c r="AN59" s="50">
        <v>24</v>
      </c>
      <c r="AO59" s="48">
        <f t="shared" si="6"/>
        <v>0.5625</v>
      </c>
      <c r="AP59" s="48">
        <f t="shared" si="6"/>
        <v>0.5625</v>
      </c>
      <c r="AQ59" s="48" cm="1">
        <f t="array" ref="AQ59">MIN(INDEX(Use,AQ$10,5) + MAX(0, (1-INDEX(Use,AQ$10,5))*($AK59-5)/(35-5)), 1)</f>
        <v>0.86</v>
      </c>
      <c r="AR59" s="48" cm="1">
        <f t="array" ref="AR59">MIN(INDEX(Use,AR$10,5) + MAX(0, (1-INDEX(Use,AR$10,5))*($AK59-5)/(35-5)), 1)</f>
        <v>0.90666666666666673</v>
      </c>
      <c r="AS59" s="48" cm="1">
        <f t="array" ref="AS59">MIN(INDEX(Use,AS$10,5) + MAX(0, (1-INDEX(Use,AS$10,5))*($AK59-5)/(35-5)), 1)</f>
        <v>0.95333333333333337</v>
      </c>
      <c r="AT59" s="48" cm="1">
        <f t="array" ref="AT59">MIN(INDEX(Use,AT$10,5) + MAX(0, (1-INDEX(Use,AT$10,5))*($AK59-5)/(35-5)), 1)</f>
        <v>0.95333333333333337</v>
      </c>
      <c r="AU59" s="48" cm="1">
        <f t="array" ref="AU59">MIN(INDEX(Use,AU$10,5) + MAX(0, (1-INDEX(Use,AU$10,5))*($AK59-5)/(35-5)), 1)</f>
        <v>0.95333333333333337</v>
      </c>
      <c r="AV59" s="48">
        <v>0.4</v>
      </c>
      <c r="AW59" s="48">
        <v>0.7</v>
      </c>
      <c r="AX59" s="15"/>
      <c r="AY59" s="41" cm="1">
        <f t="array" ref="AY59">INDEX(Use, $AD59, 4)</f>
        <v>7</v>
      </c>
      <c r="AZ59" s="41">
        <f t="shared" si="9"/>
        <v>32</v>
      </c>
      <c r="BA59" s="41">
        <f t="shared" si="10"/>
        <v>13</v>
      </c>
      <c r="BB59" s="41">
        <f t="shared" si="11"/>
        <v>0</v>
      </c>
      <c r="BC59" s="57" cm="1">
        <f t="array" ref="BC59">K59/IF($L59&gt;0, INDEX($AO$12:$AU$66, $L59+20, $AD59), 1)</f>
        <v>0</v>
      </c>
      <c r="BD59" s="46">
        <f t="shared" si="12"/>
        <v>0</v>
      </c>
      <c r="BE59" s="41">
        <v>35</v>
      </c>
      <c r="BF59" s="46">
        <f t="shared" si="13"/>
        <v>52.55</v>
      </c>
      <c r="BG59" s="49">
        <f t="shared" si="14"/>
        <v>2.7676728869374316</v>
      </c>
      <c r="BH59" s="49" cm="1">
        <f t="array" ref="BH59">$BC59 * SUMPRODUCT(INDEX($AL$66:$AN$71,,$AE59),INDEX($AO$66:$AU$71,,$AD59), N($AK$66:$AK$71&gt;$AI59)) / BG59 / 1000</f>
        <v>0</v>
      </c>
      <c r="BI59" s="50">
        <f t="shared" si="15"/>
        <v>30</v>
      </c>
      <c r="BJ59" s="46">
        <f t="shared" si="16"/>
        <v>46.033333333333331</v>
      </c>
      <c r="BK59" s="49">
        <f t="shared" si="17"/>
        <v>3.2297395388556791</v>
      </c>
      <c r="BL59" s="49" cm="1">
        <f t="array" ref="BL59">$BC59 * IF($AD59&lt;=2,
SUMPRODUCT(INDEX($AL$61:$AN$65,,$AE59), INDEX($AO$61:$AU$65,,$AD59), 1 / ($AV$61:$AV$65*BK59 + (1-$AV$61:$AV$65)*BG59), N($AK$61:$AK$65&gt;$AI59)),
SUMPRODUCT(INDEX($AL$56:$AN$65,,$AE59), INDEX($AO$56:$AU$65,,$AD59), 1 / ($AW$56:$AW$65*BK59 + (1-$AW$56:$AW$65)*BG59), N($AK$56:$AK$65&gt;$AI59))
) / 1000</f>
        <v>0</v>
      </c>
      <c r="BM59" s="50">
        <f t="shared" si="18"/>
        <v>25</v>
      </c>
      <c r="BN59" s="46">
        <f t="shared" si="19"/>
        <v>39.516666666666666</v>
      </c>
      <c r="BO59" s="49">
        <f t="shared" si="20"/>
        <v>3.877011788826243</v>
      </c>
      <c r="BP59" s="49" cm="1">
        <f t="array" ref="BP59">$BC59 * IF($AD59&lt;=2,
SUMPRODUCT(INDEX($AL$56:$AN$60,,$AE59), INDEX($AO$56:$AU$60,,$AD59), 1 / ($AV$56:$AV$60*BO59 + (1-$AV$56:$AV$60)*BK59), N($AK$56:$AK$60&gt;$AI59)),
SUMPRODUCT(INDEX($AL$46:$AN$55,,$AE59), INDEX($AO$46:$AU$55,,$AD59), 1 / ($AW$46:$AW$55*BO59 + (1-$AW$46:$AW$55)*BK59), N($AK$46:$AK$55&gt;$AI59))
) / 1000</f>
        <v>0</v>
      </c>
      <c r="BQ59" s="50">
        <f t="shared" si="21"/>
        <v>20</v>
      </c>
      <c r="BR59" s="46">
        <f t="shared" si="22"/>
        <v>33</v>
      </c>
      <c r="BS59" s="49">
        <f t="shared" si="23"/>
        <v>4.8487499999999999</v>
      </c>
      <c r="BT59" s="49" cm="1">
        <f t="array" ref="BT59">$BC59 * IF($AD59&lt;=2,
SUMPRODUCT(INDEX($AL$51:$AN$55,,$AE59), INDEX($AO$51:$AU$55,,$AD59), 1 / ($AV$51:$AV$55*BS59 + (1-$AV$51:$AV$55)*BO59), N($AK$51:$AK$55&gt;$AI59)),
SUMPRODUCT(INDEX($AL$36:$AN$45,,$AE59), INDEX($AO$36:$AU$45,,$AD59), 1 / ($AW$36:$AW$45*BS59 + (1-$AW$36:$AW$45)*BO59), N($AK$36:$AK$45&gt;$AI59))
) / 1000</f>
        <v>0</v>
      </c>
      <c r="BU59" s="49" cm="1">
        <f t="array" ref="BU59">$BC59 * IF($AD59&lt;=2,
SUMPRODUCT(INDEX($AL$12:$AN$50,,$AE59), INDEX($AO$12:$AU$50,,$AD59), 1 / ($AV$12:$AV$50*BS59), N($AK$12:$AK$50&gt;$AI59)),
SUMPRODUCT(INDEX($AL$12:$AN$35,,$AE59), INDEX($AO$12:$AU$35,,$AD59), 1 / ($AW$12:$AW$35*BS59), N($AK$12:$AK$35&gt;$AI59))
) / 1000</f>
        <v>0</v>
      </c>
      <c r="BV59" s="46">
        <f t="shared" si="24"/>
        <v>0</v>
      </c>
      <c r="BW59" s="20"/>
      <c r="BX59" s="46">
        <f t="shared" si="25"/>
        <v>0</v>
      </c>
      <c r="BY59" s="41">
        <v>35</v>
      </c>
      <c r="BZ59" s="46">
        <f t="shared" si="26"/>
        <v>48</v>
      </c>
      <c r="CA59" s="49">
        <f t="shared" si="27"/>
        <v>3.0748170731707316</v>
      </c>
      <c r="CB59" s="49" cm="1">
        <f t="array" ref="CB59">$BC59 * SUMPRODUCT(INDEX($AL$66:$AN$71,,$AE59),INDEX($AO$66:$AU$71,,$AD59), N($AK$66:$AK$71&gt;$AI59)) / CA59 / 1000</f>
        <v>0</v>
      </c>
      <c r="CC59" s="50">
        <f t="shared" si="28"/>
        <v>30</v>
      </c>
      <c r="CD59" s="46">
        <f t="shared" si="29"/>
        <v>43</v>
      </c>
      <c r="CE59" s="49">
        <f t="shared" si="30"/>
        <v>3.5018750000000001</v>
      </c>
      <c r="CF59" s="49" cm="1">
        <f t="array" ref="CF59">$BC59 * IF($AD59&lt;=2,
SUMPRODUCT(INDEX($AL$61:$AN$65,,$AE59), INDEX($AO$61:$AU$65,,$AD59), 1 / ($AV$61:$AV$65*CE59 + (1-$AV$61:$AV$65)*CA59), N($AK$61:$AK$65&gt;$AI59)),
SUMPRODUCT(INDEX($AL$56:$AN$65,,$AE59), INDEX($AO$56:$AU$65,,$AD59), 1 / ($AW$56:$AW$65*CE59 + (1-$AW$56:$AW$65)*CA59), N($AK$56:$AK$65&gt;$AI59))
) / 1000</f>
        <v>0</v>
      </c>
      <c r="CG59" s="50">
        <f t="shared" si="31"/>
        <v>25</v>
      </c>
      <c r="CH59" s="46">
        <f t="shared" si="32"/>
        <v>38</v>
      </c>
      <c r="CI59" s="49">
        <f t="shared" si="33"/>
        <v>4.0666935483870965</v>
      </c>
      <c r="CJ59" s="49" cm="1">
        <f t="array" ref="CJ59">$BC59 * IF($AD59&lt;=2,
SUMPRODUCT(INDEX($AL$56:$AN$60,,$AE59), INDEX($AO$56:$AU$60,,$AD59), 1 / ($AV$56:$AV$60*CI59 + (1-$AV$56:$AV$60)*CE59), N($AK$56:$AK$60&gt;$AI59)),
SUMPRODUCT(INDEX($AL$46:$AN$55,,$AE59), INDEX($AO$46:$AU$55,,$AD59), 1 / ($AW$46:$AW$55*CI59 + (1-$AW$46:$AW$55)*CE59), N($AK$46:$AK$55&gt;$AI59))
) / 1000</f>
        <v>0</v>
      </c>
      <c r="CK59" s="50">
        <f t="shared" si="34"/>
        <v>20</v>
      </c>
      <c r="CL59" s="46">
        <f t="shared" si="35"/>
        <v>33</v>
      </c>
      <c r="CM59" s="49">
        <f t="shared" si="36"/>
        <v>4.8487499999999999</v>
      </c>
      <c r="CN59" s="49" cm="1">
        <f t="array" ref="CN59">$BC59 * IF($AD59&lt;=2,
SUMPRODUCT(INDEX($AL$51:$AN$55,,$AE59), INDEX($AO$51:$AU$55,,$AD59), 1 / ($AV$51:$AV$55*CM59 + (1-$AV$51:$AV$55)*CI59), N($AK$51:$AK$55&gt;$AI59)),
SUMPRODUCT(INDEX($AL$36:$AN$45,,$AE59), INDEX($AO$36:$AU$45,,$AD59), 1 / ($AW$36:$AW$45*CM59 + (1-$AW$36:$AW$45)*CI59), N($AK$36:$AK$45&gt;$AI59))
) / 1000</f>
        <v>0</v>
      </c>
      <c r="CO59" s="49" cm="1">
        <f t="array" ref="CO59">$BC59 * IF($AD59&lt;=2,
SUMPRODUCT(INDEX($AL$12:$AN$50,,$AE59), INDEX($AO$12:$AU$50,,$AD59), 1 / ($AV$12:$AV$50*CM59), N($AK$12:$AK$50&gt;$AI59)),
SUMPRODUCT(INDEX($AL$12:$AN$35,,$AE59), INDEX($AO$12:$AU$35,,$AD59), 1 / ($AW$12:$AW$35*CM59), N($AK$12:$AK$35&gt;$AI59))
) / 1000</f>
        <v>0</v>
      </c>
      <c r="CP59" s="46">
        <f t="shared" si="37"/>
        <v>0</v>
      </c>
      <c r="CQ59" s="20"/>
    </row>
    <row r="60" spans="1:95" s="95" customFormat="1" ht="14.25" customHeight="1" x14ac:dyDescent="0.25">
      <c r="A60" s="36" t="b">
        <f t="shared" si="38"/>
        <v>0</v>
      </c>
      <c r="B60" s="94">
        <v>49</v>
      </c>
      <c r="C60" s="7"/>
      <c r="D60" s="7"/>
      <c r="E60" s="33"/>
      <c r="F60" s="8" t="str">
        <f>IF(ISBLANK(E60), "", VLOOKUP(E60, Z!$A$2:$C$4127, 3, FALSE))</f>
        <v/>
      </c>
      <c r="G60" s="44"/>
      <c r="H60" s="44"/>
      <c r="I60" s="107"/>
      <c r="J60" s="108"/>
      <c r="K60" s="34"/>
      <c r="L60" s="59"/>
      <c r="M60" s="58" t="str" cm="1">
        <f t="array" ref="M60">IF($K60&gt;0, INDEX(Clean,1+AG60,$B$1), "")</f>
        <v/>
      </c>
      <c r="N60" s="62"/>
      <c r="O60" s="62"/>
      <c r="P60" s="63"/>
      <c r="Q60" s="52">
        <f t="shared" si="7"/>
        <v>0</v>
      </c>
      <c r="R60" s="58" t="str" cm="1">
        <f t="array" ref="R60">IF($K60&gt;0, INDEX(Clean,1+AH60,$B$1), "")</f>
        <v/>
      </c>
      <c r="S60" s="62"/>
      <c r="T60" s="62"/>
      <c r="U60" s="63"/>
      <c r="V60" s="52">
        <f t="shared" si="8"/>
        <v>0</v>
      </c>
      <c r="W60" s="6"/>
      <c r="X60" s="7"/>
      <c r="Y60" s="33"/>
      <c r="Z60" s="8" t="str">
        <f>IF(ISBLANK(Y60), "", VLOOKUP(Y60, Z!$A$2:$C$4127, 3, FALSE))</f>
        <v/>
      </c>
      <c r="AA60" s="38"/>
      <c r="AB60" s="9">
        <f t="shared" si="39"/>
        <v>0</v>
      </c>
      <c r="AC60" s="20"/>
      <c r="AD60" s="41">
        <f t="shared" si="40"/>
        <v>1</v>
      </c>
      <c r="AE60" s="41">
        <f t="shared" si="41"/>
        <v>1</v>
      </c>
      <c r="AF60" s="41">
        <f t="shared" si="42"/>
        <v>0</v>
      </c>
      <c r="AG60" s="41">
        <v>1</v>
      </c>
      <c r="AH60" s="41">
        <v>0</v>
      </c>
      <c r="AI60" s="41">
        <f t="shared" si="43"/>
        <v>-100</v>
      </c>
      <c r="AJ60" s="20"/>
      <c r="AK60" s="41">
        <v>29</v>
      </c>
      <c r="AL60" s="50">
        <v>50</v>
      </c>
      <c r="AM60" s="50">
        <v>50</v>
      </c>
      <c r="AN60" s="50">
        <v>14</v>
      </c>
      <c r="AO60" s="48">
        <f t="shared" si="6"/>
        <v>0.625</v>
      </c>
      <c r="AP60" s="48">
        <f t="shared" si="6"/>
        <v>0.625</v>
      </c>
      <c r="AQ60" s="48" cm="1">
        <f t="array" ref="AQ60">MIN(INDEX(Use,AQ$10,5) + MAX(0, (1-INDEX(Use,AQ$10,5))*($AK60-5)/(35-5)), 1)</f>
        <v>0.87999999999999989</v>
      </c>
      <c r="AR60" s="48" cm="1">
        <f t="array" ref="AR60">MIN(INDEX(Use,AR$10,5) + MAX(0, (1-INDEX(Use,AR$10,5))*($AK60-5)/(35-5)), 1)</f>
        <v>0.92</v>
      </c>
      <c r="AS60" s="48" cm="1">
        <f t="array" ref="AS60">MIN(INDEX(Use,AS$10,5) + MAX(0, (1-INDEX(Use,AS$10,5))*($AK60-5)/(35-5)), 1)</f>
        <v>0.96</v>
      </c>
      <c r="AT60" s="48" cm="1">
        <f t="array" ref="AT60">MIN(INDEX(Use,AT$10,5) + MAX(0, (1-INDEX(Use,AT$10,5))*($AK60-5)/(35-5)), 1)</f>
        <v>0.96</v>
      </c>
      <c r="AU60" s="48" cm="1">
        <f t="array" ref="AU60">MIN(INDEX(Use,AU$10,5) + MAX(0, (1-INDEX(Use,AU$10,5))*($AK60-5)/(35-5)), 1)</f>
        <v>0.96</v>
      </c>
      <c r="AV60" s="48">
        <v>0.2</v>
      </c>
      <c r="AW60" s="48">
        <v>0.6</v>
      </c>
      <c r="AX60" s="15"/>
      <c r="AY60" s="41" cm="1">
        <f t="array" ref="AY60">INDEX(Use, $AD60, 4)</f>
        <v>7</v>
      </c>
      <c r="AZ60" s="41">
        <f t="shared" si="9"/>
        <v>32</v>
      </c>
      <c r="BA60" s="41">
        <f t="shared" si="10"/>
        <v>13</v>
      </c>
      <c r="BB60" s="41">
        <f t="shared" si="11"/>
        <v>0</v>
      </c>
      <c r="BC60" s="57" cm="1">
        <f t="array" ref="BC60">K60/IF($L60&gt;0, INDEX($AO$12:$AU$66, $L60+20, $AD60), 1)</f>
        <v>0</v>
      </c>
      <c r="BD60" s="46">
        <f t="shared" si="12"/>
        <v>0</v>
      </c>
      <c r="BE60" s="41">
        <v>35</v>
      </c>
      <c r="BF60" s="46">
        <f t="shared" si="13"/>
        <v>52.55</v>
      </c>
      <c r="BG60" s="49">
        <f t="shared" si="14"/>
        <v>2.7676728869374316</v>
      </c>
      <c r="BH60" s="49" cm="1">
        <f t="array" ref="BH60">$BC60 * SUMPRODUCT(INDEX($AL$66:$AN$71,,$AE60),INDEX($AO$66:$AU$71,,$AD60), N($AK$66:$AK$71&gt;$AI60)) / BG60 / 1000</f>
        <v>0</v>
      </c>
      <c r="BI60" s="50">
        <f t="shared" si="15"/>
        <v>30</v>
      </c>
      <c r="BJ60" s="46">
        <f t="shared" si="16"/>
        <v>46.033333333333331</v>
      </c>
      <c r="BK60" s="49">
        <f t="shared" si="17"/>
        <v>3.2297395388556791</v>
      </c>
      <c r="BL60" s="49" cm="1">
        <f t="array" ref="BL60">$BC60 * IF($AD60&lt;=2,
SUMPRODUCT(INDEX($AL$61:$AN$65,,$AE60), INDEX($AO$61:$AU$65,,$AD60), 1 / ($AV$61:$AV$65*BK60 + (1-$AV$61:$AV$65)*BG60), N($AK$61:$AK$65&gt;$AI60)),
SUMPRODUCT(INDEX($AL$56:$AN$65,,$AE60), INDEX($AO$56:$AU$65,,$AD60), 1 / ($AW$56:$AW$65*BK60 + (1-$AW$56:$AW$65)*BG60), N($AK$56:$AK$65&gt;$AI60))
) / 1000</f>
        <v>0</v>
      </c>
      <c r="BM60" s="50">
        <f t="shared" si="18"/>
        <v>25</v>
      </c>
      <c r="BN60" s="46">
        <f t="shared" si="19"/>
        <v>39.516666666666666</v>
      </c>
      <c r="BO60" s="49">
        <f t="shared" si="20"/>
        <v>3.877011788826243</v>
      </c>
      <c r="BP60" s="49" cm="1">
        <f t="array" ref="BP60">$BC60 * IF($AD60&lt;=2,
SUMPRODUCT(INDEX($AL$56:$AN$60,,$AE60), INDEX($AO$56:$AU$60,,$AD60), 1 / ($AV$56:$AV$60*BO60 + (1-$AV$56:$AV$60)*BK60), N($AK$56:$AK$60&gt;$AI60)),
SUMPRODUCT(INDEX($AL$46:$AN$55,,$AE60), INDEX($AO$46:$AU$55,,$AD60), 1 / ($AW$46:$AW$55*BO60 + (1-$AW$46:$AW$55)*BK60), N($AK$46:$AK$55&gt;$AI60))
) / 1000</f>
        <v>0</v>
      </c>
      <c r="BQ60" s="50">
        <f t="shared" si="21"/>
        <v>20</v>
      </c>
      <c r="BR60" s="46">
        <f t="shared" si="22"/>
        <v>33</v>
      </c>
      <c r="BS60" s="49">
        <f t="shared" si="23"/>
        <v>4.8487499999999999</v>
      </c>
      <c r="BT60" s="49" cm="1">
        <f t="array" ref="BT60">$BC60 * IF($AD60&lt;=2,
SUMPRODUCT(INDEX($AL$51:$AN$55,,$AE60), INDEX($AO$51:$AU$55,,$AD60), 1 / ($AV$51:$AV$55*BS60 + (1-$AV$51:$AV$55)*BO60), N($AK$51:$AK$55&gt;$AI60)),
SUMPRODUCT(INDEX($AL$36:$AN$45,,$AE60), INDEX($AO$36:$AU$45,,$AD60), 1 / ($AW$36:$AW$45*BS60 + (1-$AW$36:$AW$45)*BO60), N($AK$36:$AK$45&gt;$AI60))
) / 1000</f>
        <v>0</v>
      </c>
      <c r="BU60" s="49" cm="1">
        <f t="array" ref="BU60">$BC60 * IF($AD60&lt;=2,
SUMPRODUCT(INDEX($AL$12:$AN$50,,$AE60), INDEX($AO$12:$AU$50,,$AD60), 1 / ($AV$12:$AV$50*BS60), N($AK$12:$AK$50&gt;$AI60)),
SUMPRODUCT(INDEX($AL$12:$AN$35,,$AE60), INDEX($AO$12:$AU$35,,$AD60), 1 / ($AW$12:$AW$35*BS60), N($AK$12:$AK$35&gt;$AI60))
) / 1000</f>
        <v>0</v>
      </c>
      <c r="BV60" s="46">
        <f t="shared" si="24"/>
        <v>0</v>
      </c>
      <c r="BW60" s="20"/>
      <c r="BX60" s="46">
        <f t="shared" si="25"/>
        <v>0</v>
      </c>
      <c r="BY60" s="41">
        <v>35</v>
      </c>
      <c r="BZ60" s="46">
        <f t="shared" si="26"/>
        <v>48</v>
      </c>
      <c r="CA60" s="49">
        <f t="shared" si="27"/>
        <v>3.0748170731707316</v>
      </c>
      <c r="CB60" s="49" cm="1">
        <f t="array" ref="CB60">$BC60 * SUMPRODUCT(INDEX($AL$66:$AN$71,,$AE60),INDEX($AO$66:$AU$71,,$AD60), N($AK$66:$AK$71&gt;$AI60)) / CA60 / 1000</f>
        <v>0</v>
      </c>
      <c r="CC60" s="50">
        <f t="shared" si="28"/>
        <v>30</v>
      </c>
      <c r="CD60" s="46">
        <f t="shared" si="29"/>
        <v>43</v>
      </c>
      <c r="CE60" s="49">
        <f t="shared" si="30"/>
        <v>3.5018750000000001</v>
      </c>
      <c r="CF60" s="49" cm="1">
        <f t="array" ref="CF60">$BC60 * IF($AD60&lt;=2,
SUMPRODUCT(INDEX($AL$61:$AN$65,,$AE60), INDEX($AO$61:$AU$65,,$AD60), 1 / ($AV$61:$AV$65*CE60 + (1-$AV$61:$AV$65)*CA60), N($AK$61:$AK$65&gt;$AI60)),
SUMPRODUCT(INDEX($AL$56:$AN$65,,$AE60), INDEX($AO$56:$AU$65,,$AD60), 1 / ($AW$56:$AW$65*CE60 + (1-$AW$56:$AW$65)*CA60), N($AK$56:$AK$65&gt;$AI60))
) / 1000</f>
        <v>0</v>
      </c>
      <c r="CG60" s="50">
        <f t="shared" si="31"/>
        <v>25</v>
      </c>
      <c r="CH60" s="46">
        <f t="shared" si="32"/>
        <v>38</v>
      </c>
      <c r="CI60" s="49">
        <f t="shared" si="33"/>
        <v>4.0666935483870965</v>
      </c>
      <c r="CJ60" s="49" cm="1">
        <f t="array" ref="CJ60">$BC60 * IF($AD60&lt;=2,
SUMPRODUCT(INDEX($AL$56:$AN$60,,$AE60), INDEX($AO$56:$AU$60,,$AD60), 1 / ($AV$56:$AV$60*CI60 + (1-$AV$56:$AV$60)*CE60), N($AK$56:$AK$60&gt;$AI60)),
SUMPRODUCT(INDEX($AL$46:$AN$55,,$AE60), INDEX($AO$46:$AU$55,,$AD60), 1 / ($AW$46:$AW$55*CI60 + (1-$AW$46:$AW$55)*CE60), N($AK$46:$AK$55&gt;$AI60))
) / 1000</f>
        <v>0</v>
      </c>
      <c r="CK60" s="50">
        <f t="shared" si="34"/>
        <v>20</v>
      </c>
      <c r="CL60" s="46">
        <f t="shared" si="35"/>
        <v>33</v>
      </c>
      <c r="CM60" s="49">
        <f t="shared" si="36"/>
        <v>4.8487499999999999</v>
      </c>
      <c r="CN60" s="49" cm="1">
        <f t="array" ref="CN60">$BC60 * IF($AD60&lt;=2,
SUMPRODUCT(INDEX($AL$51:$AN$55,,$AE60), INDEX($AO$51:$AU$55,,$AD60), 1 / ($AV$51:$AV$55*CM60 + (1-$AV$51:$AV$55)*CI60), N($AK$51:$AK$55&gt;$AI60)),
SUMPRODUCT(INDEX($AL$36:$AN$45,,$AE60), INDEX($AO$36:$AU$45,,$AD60), 1 / ($AW$36:$AW$45*CM60 + (1-$AW$36:$AW$45)*CI60), N($AK$36:$AK$45&gt;$AI60))
) / 1000</f>
        <v>0</v>
      </c>
      <c r="CO60" s="49" cm="1">
        <f t="array" ref="CO60">$BC60 * IF($AD60&lt;=2,
SUMPRODUCT(INDEX($AL$12:$AN$50,,$AE60), INDEX($AO$12:$AU$50,,$AD60), 1 / ($AV$12:$AV$50*CM60), N($AK$12:$AK$50&gt;$AI60)),
SUMPRODUCT(INDEX($AL$12:$AN$35,,$AE60), INDEX($AO$12:$AU$35,,$AD60), 1 / ($AW$12:$AW$35*CM60), N($AK$12:$AK$35&gt;$AI60))
) / 1000</f>
        <v>0</v>
      </c>
      <c r="CP60" s="46">
        <f t="shared" si="37"/>
        <v>0</v>
      </c>
      <c r="CQ60" s="20"/>
    </row>
    <row r="61" spans="1:95" s="95" customFormat="1" ht="14.25" customHeight="1" x14ac:dyDescent="0.25">
      <c r="A61" s="36" t="b">
        <f t="shared" si="38"/>
        <v>0</v>
      </c>
      <c r="B61" s="94">
        <v>50</v>
      </c>
      <c r="C61" s="7"/>
      <c r="D61" s="7"/>
      <c r="E61" s="33"/>
      <c r="F61" s="8" t="str">
        <f>IF(ISBLANK(E61), "", VLOOKUP(E61, Z!$A$2:$C$4127, 3, FALSE))</f>
        <v/>
      </c>
      <c r="G61" s="44"/>
      <c r="H61" s="44"/>
      <c r="I61" s="107"/>
      <c r="J61" s="108"/>
      <c r="K61" s="34"/>
      <c r="L61" s="59"/>
      <c r="M61" s="58" t="str" cm="1">
        <f t="array" ref="M61">IF($K61&gt;0, INDEX(Clean,1+AG61,$B$1), "")</f>
        <v/>
      </c>
      <c r="N61" s="62"/>
      <c r="O61" s="62"/>
      <c r="P61" s="63"/>
      <c r="Q61" s="52">
        <f t="shared" si="7"/>
        <v>0</v>
      </c>
      <c r="R61" s="58" t="str" cm="1">
        <f t="array" ref="R61">IF($K61&gt;0, INDEX(Clean,1+AH61,$B$1), "")</f>
        <v/>
      </c>
      <c r="S61" s="62"/>
      <c r="T61" s="62"/>
      <c r="U61" s="63"/>
      <c r="V61" s="52">
        <f t="shared" si="8"/>
        <v>0</v>
      </c>
      <c r="W61" s="6"/>
      <c r="X61" s="7"/>
      <c r="Y61" s="33"/>
      <c r="Z61" s="8" t="str">
        <f>IF(ISBLANK(Y61), "", VLOOKUP(Y61, Z!$A$2:$C$4127, 3, FALSE))</f>
        <v/>
      </c>
      <c r="AA61" s="38"/>
      <c r="AB61" s="9">
        <f t="shared" si="39"/>
        <v>0</v>
      </c>
      <c r="AC61" s="20"/>
      <c r="AD61" s="41">
        <f t="shared" si="40"/>
        <v>1</v>
      </c>
      <c r="AE61" s="41">
        <f t="shared" si="41"/>
        <v>1</v>
      </c>
      <c r="AF61" s="41">
        <f t="shared" si="42"/>
        <v>0</v>
      </c>
      <c r="AG61" s="41">
        <v>1</v>
      </c>
      <c r="AH61" s="41">
        <v>0</v>
      </c>
      <c r="AI61" s="41">
        <f t="shared" si="43"/>
        <v>-100</v>
      </c>
      <c r="AJ61" s="20"/>
      <c r="AK61" s="41">
        <v>30</v>
      </c>
      <c r="AL61" s="50">
        <v>22</v>
      </c>
      <c r="AM61" s="50">
        <v>23</v>
      </c>
      <c r="AN61" s="50">
        <v>16</v>
      </c>
      <c r="AO61" s="48">
        <f t="shared" si="6"/>
        <v>0.6875</v>
      </c>
      <c r="AP61" s="48">
        <f t="shared" si="6"/>
        <v>0.6875</v>
      </c>
      <c r="AQ61" s="48" cm="1">
        <f t="array" ref="AQ61">MIN(INDEX(Use,AQ$10,5) + MAX(0, (1-INDEX(Use,AQ$10,5))*($AK61-5)/(35-5)), 1)</f>
        <v>0.9</v>
      </c>
      <c r="AR61" s="48" cm="1">
        <f t="array" ref="AR61">MIN(INDEX(Use,AR$10,5) + MAX(0, (1-INDEX(Use,AR$10,5))*($AK61-5)/(35-5)), 1)</f>
        <v>0.93333333333333335</v>
      </c>
      <c r="AS61" s="48" cm="1">
        <f t="array" ref="AS61">MIN(INDEX(Use,AS$10,5) + MAX(0, (1-INDEX(Use,AS$10,5))*($AK61-5)/(35-5)), 1)</f>
        <v>0.96666666666666667</v>
      </c>
      <c r="AT61" s="48" cm="1">
        <f t="array" ref="AT61">MIN(INDEX(Use,AT$10,5) + MAX(0, (1-INDEX(Use,AT$10,5))*($AK61-5)/(35-5)), 1)</f>
        <v>0.96666666666666667</v>
      </c>
      <c r="AU61" s="48" cm="1">
        <f t="array" ref="AU61">MIN(INDEX(Use,AU$10,5) + MAX(0, (1-INDEX(Use,AU$10,5))*($AK61-5)/(35-5)), 1)</f>
        <v>0.96666666666666667</v>
      </c>
      <c r="AV61" s="48">
        <v>1</v>
      </c>
      <c r="AW61" s="48">
        <v>0.5</v>
      </c>
      <c r="AX61" s="15"/>
      <c r="AY61" s="41" cm="1">
        <f t="array" ref="AY61">INDEX(Use, $AD61, 4)</f>
        <v>7</v>
      </c>
      <c r="AZ61" s="41">
        <f t="shared" si="9"/>
        <v>32</v>
      </c>
      <c r="BA61" s="41">
        <f t="shared" si="10"/>
        <v>13</v>
      </c>
      <c r="BB61" s="41">
        <f t="shared" si="11"/>
        <v>0</v>
      </c>
      <c r="BC61" s="57" cm="1">
        <f t="array" ref="BC61">K61/IF($L61&gt;0, INDEX($AO$12:$AU$66, $L61+20, $AD61), 1)</f>
        <v>0</v>
      </c>
      <c r="BD61" s="46">
        <f t="shared" si="12"/>
        <v>0</v>
      </c>
      <c r="BE61" s="41">
        <v>35</v>
      </c>
      <c r="BF61" s="46">
        <f t="shared" si="13"/>
        <v>52.55</v>
      </c>
      <c r="BG61" s="49">
        <f t="shared" si="14"/>
        <v>2.7676728869374316</v>
      </c>
      <c r="BH61" s="49" cm="1">
        <f t="array" ref="BH61">$BC61 * SUMPRODUCT(INDEX($AL$66:$AN$71,,$AE61),INDEX($AO$66:$AU$71,,$AD61), N($AK$66:$AK$71&gt;$AI61)) / BG61 / 1000</f>
        <v>0</v>
      </c>
      <c r="BI61" s="50">
        <f t="shared" si="15"/>
        <v>30</v>
      </c>
      <c r="BJ61" s="46">
        <f t="shared" si="16"/>
        <v>46.033333333333331</v>
      </c>
      <c r="BK61" s="49">
        <f t="shared" si="17"/>
        <v>3.2297395388556791</v>
      </c>
      <c r="BL61" s="49" cm="1">
        <f t="array" ref="BL61">$BC61 * IF($AD61&lt;=2,
SUMPRODUCT(INDEX($AL$61:$AN$65,,$AE61), INDEX($AO$61:$AU$65,,$AD61), 1 / ($AV$61:$AV$65*BK61 + (1-$AV$61:$AV$65)*BG61), N($AK$61:$AK$65&gt;$AI61)),
SUMPRODUCT(INDEX($AL$56:$AN$65,,$AE61), INDEX($AO$56:$AU$65,,$AD61), 1 / ($AW$56:$AW$65*BK61 + (1-$AW$56:$AW$65)*BG61), N($AK$56:$AK$65&gt;$AI61))
) / 1000</f>
        <v>0</v>
      </c>
      <c r="BM61" s="50">
        <f t="shared" si="18"/>
        <v>25</v>
      </c>
      <c r="BN61" s="46">
        <f t="shared" si="19"/>
        <v>39.516666666666666</v>
      </c>
      <c r="BO61" s="49">
        <f t="shared" si="20"/>
        <v>3.877011788826243</v>
      </c>
      <c r="BP61" s="49" cm="1">
        <f t="array" ref="BP61">$BC61 * IF($AD61&lt;=2,
SUMPRODUCT(INDEX($AL$56:$AN$60,,$AE61), INDEX($AO$56:$AU$60,,$AD61), 1 / ($AV$56:$AV$60*BO61 + (1-$AV$56:$AV$60)*BK61), N($AK$56:$AK$60&gt;$AI61)),
SUMPRODUCT(INDEX($AL$46:$AN$55,,$AE61), INDEX($AO$46:$AU$55,,$AD61), 1 / ($AW$46:$AW$55*BO61 + (1-$AW$46:$AW$55)*BK61), N($AK$46:$AK$55&gt;$AI61))
) / 1000</f>
        <v>0</v>
      </c>
      <c r="BQ61" s="50">
        <f t="shared" si="21"/>
        <v>20</v>
      </c>
      <c r="BR61" s="46">
        <f t="shared" si="22"/>
        <v>33</v>
      </c>
      <c r="BS61" s="49">
        <f t="shared" si="23"/>
        <v>4.8487499999999999</v>
      </c>
      <c r="BT61" s="49" cm="1">
        <f t="array" ref="BT61">$BC61 * IF($AD61&lt;=2,
SUMPRODUCT(INDEX($AL$51:$AN$55,,$AE61), INDEX($AO$51:$AU$55,,$AD61), 1 / ($AV$51:$AV$55*BS61 + (1-$AV$51:$AV$55)*BO61), N($AK$51:$AK$55&gt;$AI61)),
SUMPRODUCT(INDEX($AL$36:$AN$45,,$AE61), INDEX($AO$36:$AU$45,,$AD61), 1 / ($AW$36:$AW$45*BS61 + (1-$AW$36:$AW$45)*BO61), N($AK$36:$AK$45&gt;$AI61))
) / 1000</f>
        <v>0</v>
      </c>
      <c r="BU61" s="49" cm="1">
        <f t="array" ref="BU61">$BC61 * IF($AD61&lt;=2,
SUMPRODUCT(INDEX($AL$12:$AN$50,,$AE61), INDEX($AO$12:$AU$50,,$AD61), 1 / ($AV$12:$AV$50*BS61), N($AK$12:$AK$50&gt;$AI61)),
SUMPRODUCT(INDEX($AL$12:$AN$35,,$AE61), INDEX($AO$12:$AU$35,,$AD61), 1 / ($AW$12:$AW$35*BS61), N($AK$12:$AK$35&gt;$AI61))
) / 1000</f>
        <v>0</v>
      </c>
      <c r="BV61" s="46">
        <f t="shared" si="24"/>
        <v>0</v>
      </c>
      <c r="BW61" s="20"/>
      <c r="BX61" s="46">
        <f t="shared" si="25"/>
        <v>0</v>
      </c>
      <c r="BY61" s="41">
        <v>35</v>
      </c>
      <c r="BZ61" s="46">
        <f t="shared" si="26"/>
        <v>48</v>
      </c>
      <c r="CA61" s="49">
        <f t="shared" si="27"/>
        <v>3.0748170731707316</v>
      </c>
      <c r="CB61" s="49" cm="1">
        <f t="array" ref="CB61">$BC61 * SUMPRODUCT(INDEX($AL$66:$AN$71,,$AE61),INDEX($AO$66:$AU$71,,$AD61), N($AK$66:$AK$71&gt;$AI61)) / CA61 / 1000</f>
        <v>0</v>
      </c>
      <c r="CC61" s="50">
        <f t="shared" si="28"/>
        <v>30</v>
      </c>
      <c r="CD61" s="46">
        <f t="shared" si="29"/>
        <v>43</v>
      </c>
      <c r="CE61" s="49">
        <f t="shared" si="30"/>
        <v>3.5018750000000001</v>
      </c>
      <c r="CF61" s="49" cm="1">
        <f t="array" ref="CF61">$BC61 * IF($AD61&lt;=2,
SUMPRODUCT(INDEX($AL$61:$AN$65,,$AE61), INDEX($AO$61:$AU$65,,$AD61), 1 / ($AV$61:$AV$65*CE61 + (1-$AV$61:$AV$65)*CA61), N($AK$61:$AK$65&gt;$AI61)),
SUMPRODUCT(INDEX($AL$56:$AN$65,,$AE61), INDEX($AO$56:$AU$65,,$AD61), 1 / ($AW$56:$AW$65*CE61 + (1-$AW$56:$AW$65)*CA61), N($AK$56:$AK$65&gt;$AI61))
) / 1000</f>
        <v>0</v>
      </c>
      <c r="CG61" s="50">
        <f t="shared" si="31"/>
        <v>25</v>
      </c>
      <c r="CH61" s="46">
        <f t="shared" si="32"/>
        <v>38</v>
      </c>
      <c r="CI61" s="49">
        <f t="shared" si="33"/>
        <v>4.0666935483870965</v>
      </c>
      <c r="CJ61" s="49" cm="1">
        <f t="array" ref="CJ61">$BC61 * IF($AD61&lt;=2,
SUMPRODUCT(INDEX($AL$56:$AN$60,,$AE61), INDEX($AO$56:$AU$60,,$AD61), 1 / ($AV$56:$AV$60*CI61 + (1-$AV$56:$AV$60)*CE61), N($AK$56:$AK$60&gt;$AI61)),
SUMPRODUCT(INDEX($AL$46:$AN$55,,$AE61), INDEX($AO$46:$AU$55,,$AD61), 1 / ($AW$46:$AW$55*CI61 + (1-$AW$46:$AW$55)*CE61), N($AK$46:$AK$55&gt;$AI61))
) / 1000</f>
        <v>0</v>
      </c>
      <c r="CK61" s="50">
        <f t="shared" si="34"/>
        <v>20</v>
      </c>
      <c r="CL61" s="46">
        <f t="shared" si="35"/>
        <v>33</v>
      </c>
      <c r="CM61" s="49">
        <f t="shared" si="36"/>
        <v>4.8487499999999999</v>
      </c>
      <c r="CN61" s="49" cm="1">
        <f t="array" ref="CN61">$BC61 * IF($AD61&lt;=2,
SUMPRODUCT(INDEX($AL$51:$AN$55,,$AE61), INDEX($AO$51:$AU$55,,$AD61), 1 / ($AV$51:$AV$55*CM61 + (1-$AV$51:$AV$55)*CI61), N($AK$51:$AK$55&gt;$AI61)),
SUMPRODUCT(INDEX($AL$36:$AN$45,,$AE61), INDEX($AO$36:$AU$45,,$AD61), 1 / ($AW$36:$AW$45*CM61 + (1-$AW$36:$AW$45)*CI61), N($AK$36:$AK$45&gt;$AI61))
) / 1000</f>
        <v>0</v>
      </c>
      <c r="CO61" s="49" cm="1">
        <f t="array" ref="CO61">$BC61 * IF($AD61&lt;=2,
SUMPRODUCT(INDEX($AL$12:$AN$50,,$AE61), INDEX($AO$12:$AU$50,,$AD61), 1 / ($AV$12:$AV$50*CM61), N($AK$12:$AK$50&gt;$AI61)),
SUMPRODUCT(INDEX($AL$12:$AN$35,,$AE61), INDEX($AO$12:$AU$35,,$AD61), 1 / ($AW$12:$AW$35*CM61), N($AK$12:$AK$35&gt;$AI61))
) / 1000</f>
        <v>0</v>
      </c>
      <c r="CP61" s="46">
        <f t="shared" si="37"/>
        <v>0</v>
      </c>
      <c r="CQ61" s="20"/>
    </row>
    <row r="62" spans="1:95" s="95" customFormat="1" ht="14.25" customHeight="1" x14ac:dyDescent="0.25">
      <c r="A62" s="36" t="b">
        <f t="shared" si="38"/>
        <v>0</v>
      </c>
      <c r="B62" s="94">
        <v>51</v>
      </c>
      <c r="C62" s="7"/>
      <c r="D62" s="7"/>
      <c r="E62" s="33"/>
      <c r="F62" s="8" t="str">
        <f>IF(ISBLANK(E62), "", VLOOKUP(E62, Z!$A$2:$C$4127, 3, FALSE))</f>
        <v/>
      </c>
      <c r="G62" s="44"/>
      <c r="H62" s="44"/>
      <c r="I62" s="107"/>
      <c r="J62" s="108"/>
      <c r="K62" s="34"/>
      <c r="L62" s="59"/>
      <c r="M62" s="58" t="str" cm="1">
        <f t="array" ref="M62">IF($K62&gt;0, INDEX(Clean,1+AG62,$B$1), "")</f>
        <v/>
      </c>
      <c r="N62" s="62"/>
      <c r="O62" s="62"/>
      <c r="P62" s="63"/>
      <c r="Q62" s="52">
        <f t="shared" si="7"/>
        <v>0</v>
      </c>
      <c r="R62" s="58" t="str" cm="1">
        <f t="array" ref="R62">IF($K62&gt;0, INDEX(Clean,1+AH62,$B$1), "")</f>
        <v/>
      </c>
      <c r="S62" s="62"/>
      <c r="T62" s="62"/>
      <c r="U62" s="63"/>
      <c r="V62" s="52">
        <f t="shared" si="8"/>
        <v>0</v>
      </c>
      <c r="W62" s="6"/>
      <c r="X62" s="7"/>
      <c r="Y62" s="33"/>
      <c r="Z62" s="8" t="str">
        <f>IF(ISBLANK(Y62), "", VLOOKUP(Y62, Z!$A$2:$C$4127, 3, FALSE))</f>
        <v/>
      </c>
      <c r="AA62" s="38"/>
      <c r="AB62" s="9">
        <f t="shared" si="39"/>
        <v>0</v>
      </c>
      <c r="AC62" s="20"/>
      <c r="AD62" s="41">
        <f t="shared" si="40"/>
        <v>1</v>
      </c>
      <c r="AE62" s="41">
        <f t="shared" si="41"/>
        <v>1</v>
      </c>
      <c r="AF62" s="41">
        <f t="shared" si="42"/>
        <v>0</v>
      </c>
      <c r="AG62" s="41">
        <v>1</v>
      </c>
      <c r="AH62" s="41">
        <v>0</v>
      </c>
      <c r="AI62" s="41">
        <f t="shared" si="43"/>
        <v>-100</v>
      </c>
      <c r="AJ62" s="20"/>
      <c r="AK62" s="41">
        <v>31</v>
      </c>
      <c r="AL62" s="50">
        <v>17</v>
      </c>
      <c r="AM62" s="50">
        <v>19</v>
      </c>
      <c r="AN62" s="50">
        <v>6</v>
      </c>
      <c r="AO62" s="48">
        <f t="shared" si="6"/>
        <v>0.75</v>
      </c>
      <c r="AP62" s="48">
        <f t="shared" si="6"/>
        <v>0.75</v>
      </c>
      <c r="AQ62" s="48" cm="1">
        <f t="array" ref="AQ62">MIN(INDEX(Use,AQ$10,5) + MAX(0, (1-INDEX(Use,AQ$10,5))*($AK62-5)/(35-5)), 1)</f>
        <v>0.92</v>
      </c>
      <c r="AR62" s="48" cm="1">
        <f t="array" ref="AR62">MIN(INDEX(Use,AR$10,5) + MAX(0, (1-INDEX(Use,AR$10,5))*($AK62-5)/(35-5)), 1)</f>
        <v>0.94666666666666666</v>
      </c>
      <c r="AS62" s="48" cm="1">
        <f t="array" ref="AS62">MIN(INDEX(Use,AS$10,5) + MAX(0, (1-INDEX(Use,AS$10,5))*($AK62-5)/(35-5)), 1)</f>
        <v>0.97333333333333338</v>
      </c>
      <c r="AT62" s="48" cm="1">
        <f t="array" ref="AT62">MIN(INDEX(Use,AT$10,5) + MAX(0, (1-INDEX(Use,AT$10,5))*($AK62-5)/(35-5)), 1)</f>
        <v>0.97333333333333338</v>
      </c>
      <c r="AU62" s="48" cm="1">
        <f t="array" ref="AU62">MIN(INDEX(Use,AU$10,5) + MAX(0, (1-INDEX(Use,AU$10,5))*($AK62-5)/(35-5)), 1)</f>
        <v>0.97333333333333338</v>
      </c>
      <c r="AV62" s="48">
        <v>0.8</v>
      </c>
      <c r="AW62" s="48">
        <v>0.4</v>
      </c>
      <c r="AX62" s="15"/>
      <c r="AY62" s="41" cm="1">
        <f t="array" ref="AY62">INDEX(Use, $AD62, 4)</f>
        <v>7</v>
      </c>
      <c r="AZ62" s="41">
        <f t="shared" si="9"/>
        <v>32</v>
      </c>
      <c r="BA62" s="41">
        <f t="shared" si="10"/>
        <v>13</v>
      </c>
      <c r="BB62" s="41">
        <f t="shared" si="11"/>
        <v>0</v>
      </c>
      <c r="BC62" s="57" cm="1">
        <f t="array" ref="BC62">K62/IF($L62&gt;0, INDEX($AO$12:$AU$66, $L62+20, $AD62), 1)</f>
        <v>0</v>
      </c>
      <c r="BD62" s="46">
        <f t="shared" si="12"/>
        <v>0</v>
      </c>
      <c r="BE62" s="41">
        <v>35</v>
      </c>
      <c r="BF62" s="46">
        <f t="shared" si="13"/>
        <v>52.55</v>
      </c>
      <c r="BG62" s="49">
        <f t="shared" si="14"/>
        <v>2.7676728869374316</v>
      </c>
      <c r="BH62" s="49" cm="1">
        <f t="array" ref="BH62">$BC62 * SUMPRODUCT(INDEX($AL$66:$AN$71,,$AE62),INDEX($AO$66:$AU$71,,$AD62), N($AK$66:$AK$71&gt;$AI62)) / BG62 / 1000</f>
        <v>0</v>
      </c>
      <c r="BI62" s="50">
        <f t="shared" si="15"/>
        <v>30</v>
      </c>
      <c r="BJ62" s="46">
        <f t="shared" si="16"/>
        <v>46.033333333333331</v>
      </c>
      <c r="BK62" s="49">
        <f t="shared" si="17"/>
        <v>3.2297395388556791</v>
      </c>
      <c r="BL62" s="49" cm="1">
        <f t="array" ref="BL62">$BC62 * IF($AD62&lt;=2,
SUMPRODUCT(INDEX($AL$61:$AN$65,,$AE62), INDEX($AO$61:$AU$65,,$AD62), 1 / ($AV$61:$AV$65*BK62 + (1-$AV$61:$AV$65)*BG62), N($AK$61:$AK$65&gt;$AI62)),
SUMPRODUCT(INDEX($AL$56:$AN$65,,$AE62), INDEX($AO$56:$AU$65,,$AD62), 1 / ($AW$56:$AW$65*BK62 + (1-$AW$56:$AW$65)*BG62), N($AK$56:$AK$65&gt;$AI62))
) / 1000</f>
        <v>0</v>
      </c>
      <c r="BM62" s="50">
        <f t="shared" si="18"/>
        <v>25</v>
      </c>
      <c r="BN62" s="46">
        <f t="shared" si="19"/>
        <v>39.516666666666666</v>
      </c>
      <c r="BO62" s="49">
        <f t="shared" si="20"/>
        <v>3.877011788826243</v>
      </c>
      <c r="BP62" s="49" cm="1">
        <f t="array" ref="BP62">$BC62 * IF($AD62&lt;=2,
SUMPRODUCT(INDEX($AL$56:$AN$60,,$AE62), INDEX($AO$56:$AU$60,,$AD62), 1 / ($AV$56:$AV$60*BO62 + (1-$AV$56:$AV$60)*BK62), N($AK$56:$AK$60&gt;$AI62)),
SUMPRODUCT(INDEX($AL$46:$AN$55,,$AE62), INDEX($AO$46:$AU$55,,$AD62), 1 / ($AW$46:$AW$55*BO62 + (1-$AW$46:$AW$55)*BK62), N($AK$46:$AK$55&gt;$AI62))
) / 1000</f>
        <v>0</v>
      </c>
      <c r="BQ62" s="50">
        <f t="shared" si="21"/>
        <v>20</v>
      </c>
      <c r="BR62" s="46">
        <f t="shared" si="22"/>
        <v>33</v>
      </c>
      <c r="BS62" s="49">
        <f t="shared" si="23"/>
        <v>4.8487499999999999</v>
      </c>
      <c r="BT62" s="49" cm="1">
        <f t="array" ref="BT62">$BC62 * IF($AD62&lt;=2,
SUMPRODUCT(INDEX($AL$51:$AN$55,,$AE62), INDEX($AO$51:$AU$55,,$AD62), 1 / ($AV$51:$AV$55*BS62 + (1-$AV$51:$AV$55)*BO62), N($AK$51:$AK$55&gt;$AI62)),
SUMPRODUCT(INDEX($AL$36:$AN$45,,$AE62), INDEX($AO$36:$AU$45,,$AD62), 1 / ($AW$36:$AW$45*BS62 + (1-$AW$36:$AW$45)*BO62), N($AK$36:$AK$45&gt;$AI62))
) / 1000</f>
        <v>0</v>
      </c>
      <c r="BU62" s="49" cm="1">
        <f t="array" ref="BU62">$BC62 * IF($AD62&lt;=2,
SUMPRODUCT(INDEX($AL$12:$AN$50,,$AE62), INDEX($AO$12:$AU$50,,$AD62), 1 / ($AV$12:$AV$50*BS62), N($AK$12:$AK$50&gt;$AI62)),
SUMPRODUCT(INDEX($AL$12:$AN$35,,$AE62), INDEX($AO$12:$AU$35,,$AD62), 1 / ($AW$12:$AW$35*BS62), N($AK$12:$AK$35&gt;$AI62))
) / 1000</f>
        <v>0</v>
      </c>
      <c r="BV62" s="46">
        <f t="shared" si="24"/>
        <v>0</v>
      </c>
      <c r="BW62" s="20"/>
      <c r="BX62" s="46">
        <f t="shared" si="25"/>
        <v>0</v>
      </c>
      <c r="BY62" s="41">
        <v>35</v>
      </c>
      <c r="BZ62" s="46">
        <f t="shared" si="26"/>
        <v>48</v>
      </c>
      <c r="CA62" s="49">
        <f t="shared" si="27"/>
        <v>3.0748170731707316</v>
      </c>
      <c r="CB62" s="49" cm="1">
        <f t="array" ref="CB62">$BC62 * SUMPRODUCT(INDEX($AL$66:$AN$71,,$AE62),INDEX($AO$66:$AU$71,,$AD62), N($AK$66:$AK$71&gt;$AI62)) / CA62 / 1000</f>
        <v>0</v>
      </c>
      <c r="CC62" s="50">
        <f t="shared" si="28"/>
        <v>30</v>
      </c>
      <c r="CD62" s="46">
        <f t="shared" si="29"/>
        <v>43</v>
      </c>
      <c r="CE62" s="49">
        <f t="shared" si="30"/>
        <v>3.5018750000000001</v>
      </c>
      <c r="CF62" s="49" cm="1">
        <f t="array" ref="CF62">$BC62 * IF($AD62&lt;=2,
SUMPRODUCT(INDEX($AL$61:$AN$65,,$AE62), INDEX($AO$61:$AU$65,,$AD62), 1 / ($AV$61:$AV$65*CE62 + (1-$AV$61:$AV$65)*CA62), N($AK$61:$AK$65&gt;$AI62)),
SUMPRODUCT(INDEX($AL$56:$AN$65,,$AE62), INDEX($AO$56:$AU$65,,$AD62), 1 / ($AW$56:$AW$65*CE62 + (1-$AW$56:$AW$65)*CA62), N($AK$56:$AK$65&gt;$AI62))
) / 1000</f>
        <v>0</v>
      </c>
      <c r="CG62" s="50">
        <f t="shared" si="31"/>
        <v>25</v>
      </c>
      <c r="CH62" s="46">
        <f t="shared" si="32"/>
        <v>38</v>
      </c>
      <c r="CI62" s="49">
        <f t="shared" si="33"/>
        <v>4.0666935483870965</v>
      </c>
      <c r="CJ62" s="49" cm="1">
        <f t="array" ref="CJ62">$BC62 * IF($AD62&lt;=2,
SUMPRODUCT(INDEX($AL$56:$AN$60,,$AE62), INDEX($AO$56:$AU$60,,$AD62), 1 / ($AV$56:$AV$60*CI62 + (1-$AV$56:$AV$60)*CE62), N($AK$56:$AK$60&gt;$AI62)),
SUMPRODUCT(INDEX($AL$46:$AN$55,,$AE62), INDEX($AO$46:$AU$55,,$AD62), 1 / ($AW$46:$AW$55*CI62 + (1-$AW$46:$AW$55)*CE62), N($AK$46:$AK$55&gt;$AI62))
) / 1000</f>
        <v>0</v>
      </c>
      <c r="CK62" s="50">
        <f t="shared" si="34"/>
        <v>20</v>
      </c>
      <c r="CL62" s="46">
        <f t="shared" si="35"/>
        <v>33</v>
      </c>
      <c r="CM62" s="49">
        <f t="shared" si="36"/>
        <v>4.8487499999999999</v>
      </c>
      <c r="CN62" s="49" cm="1">
        <f t="array" ref="CN62">$BC62 * IF($AD62&lt;=2,
SUMPRODUCT(INDEX($AL$51:$AN$55,,$AE62), INDEX($AO$51:$AU$55,,$AD62), 1 / ($AV$51:$AV$55*CM62 + (1-$AV$51:$AV$55)*CI62), N($AK$51:$AK$55&gt;$AI62)),
SUMPRODUCT(INDEX($AL$36:$AN$45,,$AE62), INDEX($AO$36:$AU$45,,$AD62), 1 / ($AW$36:$AW$45*CM62 + (1-$AW$36:$AW$45)*CI62), N($AK$36:$AK$45&gt;$AI62))
) / 1000</f>
        <v>0</v>
      </c>
      <c r="CO62" s="49" cm="1">
        <f t="array" ref="CO62">$BC62 * IF($AD62&lt;=2,
SUMPRODUCT(INDEX($AL$12:$AN$50,,$AE62), INDEX($AO$12:$AU$50,,$AD62), 1 / ($AV$12:$AV$50*CM62), N($AK$12:$AK$50&gt;$AI62)),
SUMPRODUCT(INDEX($AL$12:$AN$35,,$AE62), INDEX($AO$12:$AU$35,,$AD62), 1 / ($AW$12:$AW$35*CM62), N($AK$12:$AK$35&gt;$AI62))
) / 1000</f>
        <v>0</v>
      </c>
      <c r="CP62" s="46">
        <f t="shared" si="37"/>
        <v>0</v>
      </c>
      <c r="CQ62" s="20"/>
    </row>
    <row r="63" spans="1:95" s="95" customFormat="1" ht="14.25" customHeight="1" x14ac:dyDescent="0.25">
      <c r="A63" s="36" t="b">
        <f t="shared" si="38"/>
        <v>0</v>
      </c>
      <c r="B63" s="94">
        <v>52</v>
      </c>
      <c r="C63" s="7"/>
      <c r="D63" s="7"/>
      <c r="E63" s="33"/>
      <c r="F63" s="8" t="str">
        <f>IF(ISBLANK(E63), "", VLOOKUP(E63, Z!$A$2:$C$4127, 3, FALSE))</f>
        <v/>
      </c>
      <c r="G63" s="44"/>
      <c r="H63" s="44"/>
      <c r="I63" s="107"/>
      <c r="J63" s="108"/>
      <c r="K63" s="34"/>
      <c r="L63" s="59"/>
      <c r="M63" s="58" t="str" cm="1">
        <f t="array" ref="M63">IF($K63&gt;0, INDEX(Clean,1+AG63,$B$1), "")</f>
        <v/>
      </c>
      <c r="N63" s="62"/>
      <c r="O63" s="62"/>
      <c r="P63" s="63"/>
      <c r="Q63" s="52">
        <f t="shared" si="7"/>
        <v>0</v>
      </c>
      <c r="R63" s="58" t="str" cm="1">
        <f t="array" ref="R63">IF($K63&gt;0, INDEX(Clean,1+AH63,$B$1), "")</f>
        <v/>
      </c>
      <c r="S63" s="62"/>
      <c r="T63" s="62"/>
      <c r="U63" s="63"/>
      <c r="V63" s="52">
        <f t="shared" si="8"/>
        <v>0</v>
      </c>
      <c r="W63" s="6"/>
      <c r="X63" s="7"/>
      <c r="Y63" s="33"/>
      <c r="Z63" s="8" t="str">
        <f>IF(ISBLANK(Y63), "", VLOOKUP(Y63, Z!$A$2:$C$4127, 3, FALSE))</f>
        <v/>
      </c>
      <c r="AA63" s="38"/>
      <c r="AB63" s="9">
        <f t="shared" si="39"/>
        <v>0</v>
      </c>
      <c r="AC63" s="20"/>
      <c r="AD63" s="41">
        <f t="shared" si="40"/>
        <v>1</v>
      </c>
      <c r="AE63" s="41">
        <f t="shared" si="41"/>
        <v>1</v>
      </c>
      <c r="AF63" s="41">
        <f t="shared" si="42"/>
        <v>0</v>
      </c>
      <c r="AG63" s="41">
        <v>1</v>
      </c>
      <c r="AH63" s="41">
        <v>0</v>
      </c>
      <c r="AI63" s="41">
        <f t="shared" si="43"/>
        <v>-100</v>
      </c>
      <c r="AJ63" s="20"/>
      <c r="AK63" s="41">
        <v>32</v>
      </c>
      <c r="AL63" s="50">
        <v>6</v>
      </c>
      <c r="AM63" s="50">
        <v>10</v>
      </c>
      <c r="AN63" s="50">
        <v>2</v>
      </c>
      <c r="AO63" s="48">
        <f t="shared" si="6"/>
        <v>0.8125</v>
      </c>
      <c r="AP63" s="48">
        <f t="shared" si="6"/>
        <v>0.8125</v>
      </c>
      <c r="AQ63" s="48" cm="1">
        <f t="array" ref="AQ63">MIN(INDEX(Use,AQ$10,5) + MAX(0, (1-INDEX(Use,AQ$10,5))*($AK63-5)/(35-5)), 1)</f>
        <v>0.94</v>
      </c>
      <c r="AR63" s="48" cm="1">
        <f t="array" ref="AR63">MIN(INDEX(Use,AR$10,5) + MAX(0, (1-INDEX(Use,AR$10,5))*($AK63-5)/(35-5)), 1)</f>
        <v>0.96</v>
      </c>
      <c r="AS63" s="48" cm="1">
        <f t="array" ref="AS63">MIN(INDEX(Use,AS$10,5) + MAX(0, (1-INDEX(Use,AS$10,5))*($AK63-5)/(35-5)), 1)</f>
        <v>0.98</v>
      </c>
      <c r="AT63" s="48" cm="1">
        <f t="array" ref="AT63">MIN(INDEX(Use,AT$10,5) + MAX(0, (1-INDEX(Use,AT$10,5))*($AK63-5)/(35-5)), 1)</f>
        <v>0.98</v>
      </c>
      <c r="AU63" s="48" cm="1">
        <f t="array" ref="AU63">MIN(INDEX(Use,AU$10,5) + MAX(0, (1-INDEX(Use,AU$10,5))*($AK63-5)/(35-5)), 1)</f>
        <v>0.98</v>
      </c>
      <c r="AV63" s="48">
        <v>0.6</v>
      </c>
      <c r="AW63" s="48">
        <v>0.3</v>
      </c>
      <c r="AX63" s="15"/>
      <c r="AY63" s="41" cm="1">
        <f t="array" ref="AY63">INDEX(Use, $AD63, 4)</f>
        <v>7</v>
      </c>
      <c r="AZ63" s="41">
        <f t="shared" si="9"/>
        <v>32</v>
      </c>
      <c r="BA63" s="41">
        <f t="shared" si="10"/>
        <v>13</v>
      </c>
      <c r="BB63" s="41">
        <f t="shared" si="11"/>
        <v>0</v>
      </c>
      <c r="BC63" s="57" cm="1">
        <f t="array" ref="BC63">K63/IF($L63&gt;0, INDEX($AO$12:$AU$66, $L63+20, $AD63), 1)</f>
        <v>0</v>
      </c>
      <c r="BD63" s="46">
        <f t="shared" si="12"/>
        <v>0</v>
      </c>
      <c r="BE63" s="41">
        <v>35</v>
      </c>
      <c r="BF63" s="46">
        <f t="shared" si="13"/>
        <v>52.55</v>
      </c>
      <c r="BG63" s="49">
        <f t="shared" si="14"/>
        <v>2.7676728869374316</v>
      </c>
      <c r="BH63" s="49" cm="1">
        <f t="array" ref="BH63">$BC63 * SUMPRODUCT(INDEX($AL$66:$AN$71,,$AE63),INDEX($AO$66:$AU$71,,$AD63), N($AK$66:$AK$71&gt;$AI63)) / BG63 / 1000</f>
        <v>0</v>
      </c>
      <c r="BI63" s="50">
        <f t="shared" si="15"/>
        <v>30</v>
      </c>
      <c r="BJ63" s="46">
        <f t="shared" si="16"/>
        <v>46.033333333333331</v>
      </c>
      <c r="BK63" s="49">
        <f t="shared" si="17"/>
        <v>3.2297395388556791</v>
      </c>
      <c r="BL63" s="49" cm="1">
        <f t="array" ref="BL63">$BC63 * IF($AD63&lt;=2,
SUMPRODUCT(INDEX($AL$61:$AN$65,,$AE63), INDEX($AO$61:$AU$65,,$AD63), 1 / ($AV$61:$AV$65*BK63 + (1-$AV$61:$AV$65)*BG63), N($AK$61:$AK$65&gt;$AI63)),
SUMPRODUCT(INDEX($AL$56:$AN$65,,$AE63), INDEX($AO$56:$AU$65,,$AD63), 1 / ($AW$56:$AW$65*BK63 + (1-$AW$56:$AW$65)*BG63), N($AK$56:$AK$65&gt;$AI63))
) / 1000</f>
        <v>0</v>
      </c>
      <c r="BM63" s="50">
        <f t="shared" si="18"/>
        <v>25</v>
      </c>
      <c r="BN63" s="46">
        <f t="shared" si="19"/>
        <v>39.516666666666666</v>
      </c>
      <c r="BO63" s="49">
        <f t="shared" si="20"/>
        <v>3.877011788826243</v>
      </c>
      <c r="BP63" s="49" cm="1">
        <f t="array" ref="BP63">$BC63 * IF($AD63&lt;=2,
SUMPRODUCT(INDEX($AL$56:$AN$60,,$AE63), INDEX($AO$56:$AU$60,,$AD63), 1 / ($AV$56:$AV$60*BO63 + (1-$AV$56:$AV$60)*BK63), N($AK$56:$AK$60&gt;$AI63)),
SUMPRODUCT(INDEX($AL$46:$AN$55,,$AE63), INDEX($AO$46:$AU$55,,$AD63), 1 / ($AW$46:$AW$55*BO63 + (1-$AW$46:$AW$55)*BK63), N($AK$46:$AK$55&gt;$AI63))
) / 1000</f>
        <v>0</v>
      </c>
      <c r="BQ63" s="50">
        <f t="shared" si="21"/>
        <v>20</v>
      </c>
      <c r="BR63" s="46">
        <f t="shared" si="22"/>
        <v>33</v>
      </c>
      <c r="BS63" s="49">
        <f t="shared" si="23"/>
        <v>4.8487499999999999</v>
      </c>
      <c r="BT63" s="49" cm="1">
        <f t="array" ref="BT63">$BC63 * IF($AD63&lt;=2,
SUMPRODUCT(INDEX($AL$51:$AN$55,,$AE63), INDEX($AO$51:$AU$55,,$AD63), 1 / ($AV$51:$AV$55*BS63 + (1-$AV$51:$AV$55)*BO63), N($AK$51:$AK$55&gt;$AI63)),
SUMPRODUCT(INDEX($AL$36:$AN$45,,$AE63), INDEX($AO$36:$AU$45,,$AD63), 1 / ($AW$36:$AW$45*BS63 + (1-$AW$36:$AW$45)*BO63), N($AK$36:$AK$45&gt;$AI63))
) / 1000</f>
        <v>0</v>
      </c>
      <c r="BU63" s="49" cm="1">
        <f t="array" ref="BU63">$BC63 * IF($AD63&lt;=2,
SUMPRODUCT(INDEX($AL$12:$AN$50,,$AE63), INDEX($AO$12:$AU$50,,$AD63), 1 / ($AV$12:$AV$50*BS63), N($AK$12:$AK$50&gt;$AI63)),
SUMPRODUCT(INDEX($AL$12:$AN$35,,$AE63), INDEX($AO$12:$AU$35,,$AD63), 1 / ($AW$12:$AW$35*BS63), N($AK$12:$AK$35&gt;$AI63))
) / 1000</f>
        <v>0</v>
      </c>
      <c r="BV63" s="46">
        <f t="shared" si="24"/>
        <v>0</v>
      </c>
      <c r="BW63" s="20"/>
      <c r="BX63" s="46">
        <f t="shared" si="25"/>
        <v>0</v>
      </c>
      <c r="BY63" s="41">
        <v>35</v>
      </c>
      <c r="BZ63" s="46">
        <f t="shared" si="26"/>
        <v>48</v>
      </c>
      <c r="CA63" s="49">
        <f t="shared" si="27"/>
        <v>3.0748170731707316</v>
      </c>
      <c r="CB63" s="49" cm="1">
        <f t="array" ref="CB63">$BC63 * SUMPRODUCT(INDEX($AL$66:$AN$71,,$AE63),INDEX($AO$66:$AU$71,,$AD63), N($AK$66:$AK$71&gt;$AI63)) / CA63 / 1000</f>
        <v>0</v>
      </c>
      <c r="CC63" s="50">
        <f t="shared" si="28"/>
        <v>30</v>
      </c>
      <c r="CD63" s="46">
        <f t="shared" si="29"/>
        <v>43</v>
      </c>
      <c r="CE63" s="49">
        <f t="shared" si="30"/>
        <v>3.5018750000000001</v>
      </c>
      <c r="CF63" s="49" cm="1">
        <f t="array" ref="CF63">$BC63 * IF($AD63&lt;=2,
SUMPRODUCT(INDEX($AL$61:$AN$65,,$AE63), INDEX($AO$61:$AU$65,,$AD63), 1 / ($AV$61:$AV$65*CE63 + (1-$AV$61:$AV$65)*CA63), N($AK$61:$AK$65&gt;$AI63)),
SUMPRODUCT(INDEX($AL$56:$AN$65,,$AE63), INDEX($AO$56:$AU$65,,$AD63), 1 / ($AW$56:$AW$65*CE63 + (1-$AW$56:$AW$65)*CA63), N($AK$56:$AK$65&gt;$AI63))
) / 1000</f>
        <v>0</v>
      </c>
      <c r="CG63" s="50">
        <f t="shared" si="31"/>
        <v>25</v>
      </c>
      <c r="CH63" s="46">
        <f t="shared" si="32"/>
        <v>38</v>
      </c>
      <c r="CI63" s="49">
        <f t="shared" si="33"/>
        <v>4.0666935483870965</v>
      </c>
      <c r="CJ63" s="49" cm="1">
        <f t="array" ref="CJ63">$BC63 * IF($AD63&lt;=2,
SUMPRODUCT(INDEX($AL$56:$AN$60,,$AE63), INDEX($AO$56:$AU$60,,$AD63), 1 / ($AV$56:$AV$60*CI63 + (1-$AV$56:$AV$60)*CE63), N($AK$56:$AK$60&gt;$AI63)),
SUMPRODUCT(INDEX($AL$46:$AN$55,,$AE63), INDEX($AO$46:$AU$55,,$AD63), 1 / ($AW$46:$AW$55*CI63 + (1-$AW$46:$AW$55)*CE63), N($AK$46:$AK$55&gt;$AI63))
) / 1000</f>
        <v>0</v>
      </c>
      <c r="CK63" s="50">
        <f t="shared" si="34"/>
        <v>20</v>
      </c>
      <c r="CL63" s="46">
        <f t="shared" si="35"/>
        <v>33</v>
      </c>
      <c r="CM63" s="49">
        <f t="shared" si="36"/>
        <v>4.8487499999999999</v>
      </c>
      <c r="CN63" s="49" cm="1">
        <f t="array" ref="CN63">$BC63 * IF($AD63&lt;=2,
SUMPRODUCT(INDEX($AL$51:$AN$55,,$AE63), INDEX($AO$51:$AU$55,,$AD63), 1 / ($AV$51:$AV$55*CM63 + (1-$AV$51:$AV$55)*CI63), N($AK$51:$AK$55&gt;$AI63)),
SUMPRODUCT(INDEX($AL$36:$AN$45,,$AE63), INDEX($AO$36:$AU$45,,$AD63), 1 / ($AW$36:$AW$45*CM63 + (1-$AW$36:$AW$45)*CI63), N($AK$36:$AK$45&gt;$AI63))
) / 1000</f>
        <v>0</v>
      </c>
      <c r="CO63" s="49" cm="1">
        <f t="array" ref="CO63">$BC63 * IF($AD63&lt;=2,
SUMPRODUCT(INDEX($AL$12:$AN$50,,$AE63), INDEX($AO$12:$AU$50,,$AD63), 1 / ($AV$12:$AV$50*CM63), N($AK$12:$AK$50&gt;$AI63)),
SUMPRODUCT(INDEX($AL$12:$AN$35,,$AE63), INDEX($AO$12:$AU$35,,$AD63), 1 / ($AW$12:$AW$35*CM63), N($AK$12:$AK$35&gt;$AI63))
) / 1000</f>
        <v>0</v>
      </c>
      <c r="CP63" s="46">
        <f t="shared" si="37"/>
        <v>0</v>
      </c>
      <c r="CQ63" s="20"/>
    </row>
    <row r="64" spans="1:95" s="95" customFormat="1" ht="14.25" customHeight="1" x14ac:dyDescent="0.25">
      <c r="A64" s="36" t="b">
        <f t="shared" si="38"/>
        <v>0</v>
      </c>
      <c r="B64" s="94">
        <v>53</v>
      </c>
      <c r="C64" s="7"/>
      <c r="D64" s="7"/>
      <c r="E64" s="33"/>
      <c r="F64" s="8" t="str">
        <f>IF(ISBLANK(E64), "", VLOOKUP(E64, Z!$A$2:$C$4127, 3, FALSE))</f>
        <v/>
      </c>
      <c r="G64" s="44"/>
      <c r="H64" s="44"/>
      <c r="I64" s="107"/>
      <c r="J64" s="108"/>
      <c r="K64" s="34"/>
      <c r="L64" s="59"/>
      <c r="M64" s="58" t="str" cm="1">
        <f t="array" ref="M64">IF($K64&gt;0, INDEX(Clean,1+AG64,$B$1), "")</f>
        <v/>
      </c>
      <c r="N64" s="62"/>
      <c r="O64" s="62"/>
      <c r="P64" s="63"/>
      <c r="Q64" s="52">
        <f t="shared" si="7"/>
        <v>0</v>
      </c>
      <c r="R64" s="58" t="str" cm="1">
        <f t="array" ref="R64">IF($K64&gt;0, INDEX(Clean,1+AH64,$B$1), "")</f>
        <v/>
      </c>
      <c r="S64" s="62"/>
      <c r="T64" s="62"/>
      <c r="U64" s="63"/>
      <c r="V64" s="52">
        <f t="shared" si="8"/>
        <v>0</v>
      </c>
      <c r="W64" s="6"/>
      <c r="X64" s="7"/>
      <c r="Y64" s="33"/>
      <c r="Z64" s="8" t="str">
        <f>IF(ISBLANK(Y64), "", VLOOKUP(Y64, Z!$A$2:$C$4127, 3, FALSE))</f>
        <v/>
      </c>
      <c r="AA64" s="38"/>
      <c r="AB64" s="9">
        <f t="shared" si="39"/>
        <v>0</v>
      </c>
      <c r="AC64" s="20"/>
      <c r="AD64" s="41">
        <f t="shared" si="40"/>
        <v>1</v>
      </c>
      <c r="AE64" s="41">
        <f t="shared" si="41"/>
        <v>1</v>
      </c>
      <c r="AF64" s="41">
        <f t="shared" si="42"/>
        <v>0</v>
      </c>
      <c r="AG64" s="41">
        <v>1</v>
      </c>
      <c r="AH64" s="41">
        <v>0</v>
      </c>
      <c r="AI64" s="41">
        <f t="shared" si="43"/>
        <v>-100</v>
      </c>
      <c r="AJ64" s="20"/>
      <c r="AK64" s="41">
        <v>33</v>
      </c>
      <c r="AL64" s="50">
        <v>7</v>
      </c>
      <c r="AM64" s="50">
        <v>13</v>
      </c>
      <c r="AN64" s="50">
        <v>3</v>
      </c>
      <c r="AO64" s="48">
        <f t="shared" si="6"/>
        <v>0.875</v>
      </c>
      <c r="AP64" s="48">
        <f t="shared" si="6"/>
        <v>0.875</v>
      </c>
      <c r="AQ64" s="48" cm="1">
        <f t="array" ref="AQ64">MIN(INDEX(Use,AQ$10,5) + MAX(0, (1-INDEX(Use,AQ$10,5))*($AK64-5)/(35-5)), 1)</f>
        <v>0.96000000000000008</v>
      </c>
      <c r="AR64" s="48" cm="1">
        <f t="array" ref="AR64">MIN(INDEX(Use,AR$10,5) + MAX(0, (1-INDEX(Use,AR$10,5))*($AK64-5)/(35-5)), 1)</f>
        <v>0.97333333333333338</v>
      </c>
      <c r="AS64" s="48" cm="1">
        <f t="array" ref="AS64">MIN(INDEX(Use,AS$10,5) + MAX(0, (1-INDEX(Use,AS$10,5))*($AK64-5)/(35-5)), 1)</f>
        <v>0.98666666666666669</v>
      </c>
      <c r="AT64" s="48" cm="1">
        <f t="array" ref="AT64">MIN(INDEX(Use,AT$10,5) + MAX(0, (1-INDEX(Use,AT$10,5))*($AK64-5)/(35-5)), 1)</f>
        <v>0.98666666666666669</v>
      </c>
      <c r="AU64" s="48" cm="1">
        <f t="array" ref="AU64">MIN(INDEX(Use,AU$10,5) + MAX(0, (1-INDEX(Use,AU$10,5))*($AK64-5)/(35-5)), 1)</f>
        <v>0.98666666666666669</v>
      </c>
      <c r="AV64" s="48">
        <v>0.4</v>
      </c>
      <c r="AW64" s="48">
        <v>0.2</v>
      </c>
      <c r="AX64" s="15"/>
      <c r="AY64" s="41" cm="1">
        <f t="array" ref="AY64">INDEX(Use, $AD64, 4)</f>
        <v>7</v>
      </c>
      <c r="AZ64" s="41">
        <f t="shared" si="9"/>
        <v>32</v>
      </c>
      <c r="BA64" s="41">
        <f t="shared" si="10"/>
        <v>13</v>
      </c>
      <c r="BB64" s="41">
        <f t="shared" si="11"/>
        <v>0</v>
      </c>
      <c r="BC64" s="57" cm="1">
        <f t="array" ref="BC64">K64/IF($L64&gt;0, INDEX($AO$12:$AU$66, $L64+20, $AD64), 1)</f>
        <v>0</v>
      </c>
      <c r="BD64" s="46">
        <f t="shared" si="12"/>
        <v>0</v>
      </c>
      <c r="BE64" s="41">
        <v>35</v>
      </c>
      <c r="BF64" s="46">
        <f t="shared" si="13"/>
        <v>52.55</v>
      </c>
      <c r="BG64" s="49">
        <f t="shared" si="14"/>
        <v>2.7676728869374316</v>
      </c>
      <c r="BH64" s="49" cm="1">
        <f t="array" ref="BH64">$BC64 * SUMPRODUCT(INDEX($AL$66:$AN$71,,$AE64),INDEX($AO$66:$AU$71,,$AD64), N($AK$66:$AK$71&gt;$AI64)) / BG64 / 1000</f>
        <v>0</v>
      </c>
      <c r="BI64" s="50">
        <f t="shared" si="15"/>
        <v>30</v>
      </c>
      <c r="BJ64" s="46">
        <f t="shared" si="16"/>
        <v>46.033333333333331</v>
      </c>
      <c r="BK64" s="49">
        <f t="shared" si="17"/>
        <v>3.2297395388556791</v>
      </c>
      <c r="BL64" s="49" cm="1">
        <f t="array" ref="BL64">$BC64 * IF($AD64&lt;=2,
SUMPRODUCT(INDEX($AL$61:$AN$65,,$AE64), INDEX($AO$61:$AU$65,,$AD64), 1 / ($AV$61:$AV$65*BK64 + (1-$AV$61:$AV$65)*BG64), N($AK$61:$AK$65&gt;$AI64)),
SUMPRODUCT(INDEX($AL$56:$AN$65,,$AE64), INDEX($AO$56:$AU$65,,$AD64), 1 / ($AW$56:$AW$65*BK64 + (1-$AW$56:$AW$65)*BG64), N($AK$56:$AK$65&gt;$AI64))
) / 1000</f>
        <v>0</v>
      </c>
      <c r="BM64" s="50">
        <f t="shared" si="18"/>
        <v>25</v>
      </c>
      <c r="BN64" s="46">
        <f t="shared" si="19"/>
        <v>39.516666666666666</v>
      </c>
      <c r="BO64" s="49">
        <f t="shared" si="20"/>
        <v>3.877011788826243</v>
      </c>
      <c r="BP64" s="49" cm="1">
        <f t="array" ref="BP64">$BC64 * IF($AD64&lt;=2,
SUMPRODUCT(INDEX($AL$56:$AN$60,,$AE64), INDEX($AO$56:$AU$60,,$AD64), 1 / ($AV$56:$AV$60*BO64 + (1-$AV$56:$AV$60)*BK64), N($AK$56:$AK$60&gt;$AI64)),
SUMPRODUCT(INDEX($AL$46:$AN$55,,$AE64), INDEX($AO$46:$AU$55,,$AD64), 1 / ($AW$46:$AW$55*BO64 + (1-$AW$46:$AW$55)*BK64), N($AK$46:$AK$55&gt;$AI64))
) / 1000</f>
        <v>0</v>
      </c>
      <c r="BQ64" s="50">
        <f t="shared" si="21"/>
        <v>20</v>
      </c>
      <c r="BR64" s="46">
        <f t="shared" si="22"/>
        <v>33</v>
      </c>
      <c r="BS64" s="49">
        <f t="shared" si="23"/>
        <v>4.8487499999999999</v>
      </c>
      <c r="BT64" s="49" cm="1">
        <f t="array" ref="BT64">$BC64 * IF($AD64&lt;=2,
SUMPRODUCT(INDEX($AL$51:$AN$55,,$AE64), INDEX($AO$51:$AU$55,,$AD64), 1 / ($AV$51:$AV$55*BS64 + (1-$AV$51:$AV$55)*BO64), N($AK$51:$AK$55&gt;$AI64)),
SUMPRODUCT(INDEX($AL$36:$AN$45,,$AE64), INDEX($AO$36:$AU$45,,$AD64), 1 / ($AW$36:$AW$45*BS64 + (1-$AW$36:$AW$45)*BO64), N($AK$36:$AK$45&gt;$AI64))
) / 1000</f>
        <v>0</v>
      </c>
      <c r="BU64" s="49" cm="1">
        <f t="array" ref="BU64">$BC64 * IF($AD64&lt;=2,
SUMPRODUCT(INDEX($AL$12:$AN$50,,$AE64), INDEX($AO$12:$AU$50,,$AD64), 1 / ($AV$12:$AV$50*BS64), N($AK$12:$AK$50&gt;$AI64)),
SUMPRODUCT(INDEX($AL$12:$AN$35,,$AE64), INDEX($AO$12:$AU$35,,$AD64), 1 / ($AW$12:$AW$35*BS64), N($AK$12:$AK$35&gt;$AI64))
) / 1000</f>
        <v>0</v>
      </c>
      <c r="BV64" s="46">
        <f t="shared" si="24"/>
        <v>0</v>
      </c>
      <c r="BW64" s="20"/>
      <c r="BX64" s="46">
        <f t="shared" si="25"/>
        <v>0</v>
      </c>
      <c r="BY64" s="41">
        <v>35</v>
      </c>
      <c r="BZ64" s="46">
        <f t="shared" si="26"/>
        <v>48</v>
      </c>
      <c r="CA64" s="49">
        <f t="shared" si="27"/>
        <v>3.0748170731707316</v>
      </c>
      <c r="CB64" s="49" cm="1">
        <f t="array" ref="CB64">$BC64 * SUMPRODUCT(INDEX($AL$66:$AN$71,,$AE64),INDEX($AO$66:$AU$71,,$AD64), N($AK$66:$AK$71&gt;$AI64)) / CA64 / 1000</f>
        <v>0</v>
      </c>
      <c r="CC64" s="50">
        <f t="shared" si="28"/>
        <v>30</v>
      </c>
      <c r="CD64" s="46">
        <f t="shared" si="29"/>
        <v>43</v>
      </c>
      <c r="CE64" s="49">
        <f t="shared" si="30"/>
        <v>3.5018750000000001</v>
      </c>
      <c r="CF64" s="49" cm="1">
        <f t="array" ref="CF64">$BC64 * IF($AD64&lt;=2,
SUMPRODUCT(INDEX($AL$61:$AN$65,,$AE64), INDEX($AO$61:$AU$65,,$AD64), 1 / ($AV$61:$AV$65*CE64 + (1-$AV$61:$AV$65)*CA64), N($AK$61:$AK$65&gt;$AI64)),
SUMPRODUCT(INDEX($AL$56:$AN$65,,$AE64), INDEX($AO$56:$AU$65,,$AD64), 1 / ($AW$56:$AW$65*CE64 + (1-$AW$56:$AW$65)*CA64), N($AK$56:$AK$65&gt;$AI64))
) / 1000</f>
        <v>0</v>
      </c>
      <c r="CG64" s="50">
        <f t="shared" si="31"/>
        <v>25</v>
      </c>
      <c r="CH64" s="46">
        <f t="shared" si="32"/>
        <v>38</v>
      </c>
      <c r="CI64" s="49">
        <f t="shared" si="33"/>
        <v>4.0666935483870965</v>
      </c>
      <c r="CJ64" s="49" cm="1">
        <f t="array" ref="CJ64">$BC64 * IF($AD64&lt;=2,
SUMPRODUCT(INDEX($AL$56:$AN$60,,$AE64), INDEX($AO$56:$AU$60,,$AD64), 1 / ($AV$56:$AV$60*CI64 + (1-$AV$56:$AV$60)*CE64), N($AK$56:$AK$60&gt;$AI64)),
SUMPRODUCT(INDEX($AL$46:$AN$55,,$AE64), INDEX($AO$46:$AU$55,,$AD64), 1 / ($AW$46:$AW$55*CI64 + (1-$AW$46:$AW$55)*CE64), N($AK$46:$AK$55&gt;$AI64))
) / 1000</f>
        <v>0</v>
      </c>
      <c r="CK64" s="50">
        <f t="shared" si="34"/>
        <v>20</v>
      </c>
      <c r="CL64" s="46">
        <f t="shared" si="35"/>
        <v>33</v>
      </c>
      <c r="CM64" s="49">
        <f t="shared" si="36"/>
        <v>4.8487499999999999</v>
      </c>
      <c r="CN64" s="49" cm="1">
        <f t="array" ref="CN64">$BC64 * IF($AD64&lt;=2,
SUMPRODUCT(INDEX($AL$51:$AN$55,,$AE64), INDEX($AO$51:$AU$55,,$AD64), 1 / ($AV$51:$AV$55*CM64 + (1-$AV$51:$AV$55)*CI64), N($AK$51:$AK$55&gt;$AI64)),
SUMPRODUCT(INDEX($AL$36:$AN$45,,$AE64), INDEX($AO$36:$AU$45,,$AD64), 1 / ($AW$36:$AW$45*CM64 + (1-$AW$36:$AW$45)*CI64), N($AK$36:$AK$45&gt;$AI64))
) / 1000</f>
        <v>0</v>
      </c>
      <c r="CO64" s="49" cm="1">
        <f t="array" ref="CO64">$BC64 * IF($AD64&lt;=2,
SUMPRODUCT(INDEX($AL$12:$AN$50,,$AE64), INDEX($AO$12:$AU$50,,$AD64), 1 / ($AV$12:$AV$50*CM64), N($AK$12:$AK$50&gt;$AI64)),
SUMPRODUCT(INDEX($AL$12:$AN$35,,$AE64), INDEX($AO$12:$AU$35,,$AD64), 1 / ($AW$12:$AW$35*CM64), N($AK$12:$AK$35&gt;$AI64))
) / 1000</f>
        <v>0</v>
      </c>
      <c r="CP64" s="46">
        <f t="shared" si="37"/>
        <v>0</v>
      </c>
      <c r="CQ64" s="20"/>
    </row>
    <row r="65" spans="1:95" s="95" customFormat="1" ht="14.25" customHeight="1" x14ac:dyDescent="0.25">
      <c r="A65" s="36" t="b">
        <f t="shared" si="38"/>
        <v>0</v>
      </c>
      <c r="B65" s="94">
        <v>54</v>
      </c>
      <c r="C65" s="7"/>
      <c r="D65" s="7"/>
      <c r="E65" s="33"/>
      <c r="F65" s="8" t="str">
        <f>IF(ISBLANK(E65), "", VLOOKUP(E65, Z!$A$2:$C$4127, 3, FALSE))</f>
        <v/>
      </c>
      <c r="G65" s="44"/>
      <c r="H65" s="44"/>
      <c r="I65" s="107"/>
      <c r="J65" s="108"/>
      <c r="K65" s="34"/>
      <c r="L65" s="59"/>
      <c r="M65" s="58" t="str" cm="1">
        <f t="array" ref="M65">IF($K65&gt;0, INDEX(Clean,1+AG65,$B$1), "")</f>
        <v/>
      </c>
      <c r="N65" s="62"/>
      <c r="O65" s="62"/>
      <c r="P65" s="63"/>
      <c r="Q65" s="52">
        <f t="shared" si="7"/>
        <v>0</v>
      </c>
      <c r="R65" s="58" t="str" cm="1">
        <f t="array" ref="R65">IF($K65&gt;0, INDEX(Clean,1+AH65,$B$1), "")</f>
        <v/>
      </c>
      <c r="S65" s="62"/>
      <c r="T65" s="62"/>
      <c r="U65" s="63"/>
      <c r="V65" s="52">
        <f t="shared" si="8"/>
        <v>0</v>
      </c>
      <c r="W65" s="6"/>
      <c r="X65" s="7"/>
      <c r="Y65" s="33"/>
      <c r="Z65" s="8" t="str">
        <f>IF(ISBLANK(Y65), "", VLOOKUP(Y65, Z!$A$2:$C$4127, 3, FALSE))</f>
        <v/>
      </c>
      <c r="AA65" s="38"/>
      <c r="AB65" s="9">
        <f t="shared" si="39"/>
        <v>0</v>
      </c>
      <c r="AC65" s="20"/>
      <c r="AD65" s="41">
        <f t="shared" si="40"/>
        <v>1</v>
      </c>
      <c r="AE65" s="41">
        <f t="shared" si="41"/>
        <v>1</v>
      </c>
      <c r="AF65" s="41">
        <f t="shared" si="42"/>
        <v>0</v>
      </c>
      <c r="AG65" s="41">
        <v>1</v>
      </c>
      <c r="AH65" s="41">
        <v>0</v>
      </c>
      <c r="AI65" s="41">
        <f t="shared" si="43"/>
        <v>-100</v>
      </c>
      <c r="AJ65" s="20"/>
      <c r="AK65" s="41">
        <v>34</v>
      </c>
      <c r="AL65" s="50">
        <v>3</v>
      </c>
      <c r="AM65" s="50">
        <v>5</v>
      </c>
      <c r="AN65" s="50">
        <v>0</v>
      </c>
      <c r="AO65" s="48">
        <f t="shared" si="6"/>
        <v>0.9375</v>
      </c>
      <c r="AP65" s="48">
        <f t="shared" si="6"/>
        <v>0.9375</v>
      </c>
      <c r="AQ65" s="48" cm="1">
        <f t="array" ref="AQ65">MIN(INDEX(Use,AQ$10,5) + MAX(0, (1-INDEX(Use,AQ$10,5))*($AK65-5)/(35-5)), 1)</f>
        <v>0.98</v>
      </c>
      <c r="AR65" s="48" cm="1">
        <f t="array" ref="AR65">MIN(INDEX(Use,AR$10,5) + MAX(0, (1-INDEX(Use,AR$10,5))*($AK65-5)/(35-5)), 1)</f>
        <v>0.98666666666666669</v>
      </c>
      <c r="AS65" s="48" cm="1">
        <f t="array" ref="AS65">MIN(INDEX(Use,AS$10,5) + MAX(0, (1-INDEX(Use,AS$10,5))*($AK65-5)/(35-5)), 1)</f>
        <v>0.9933333333333334</v>
      </c>
      <c r="AT65" s="48" cm="1">
        <f t="array" ref="AT65">MIN(INDEX(Use,AT$10,5) + MAX(0, (1-INDEX(Use,AT$10,5))*($AK65-5)/(35-5)), 1)</f>
        <v>0.9933333333333334</v>
      </c>
      <c r="AU65" s="48" cm="1">
        <f t="array" ref="AU65">MIN(INDEX(Use,AU$10,5) + MAX(0, (1-INDEX(Use,AU$10,5))*($AK65-5)/(35-5)), 1)</f>
        <v>0.9933333333333334</v>
      </c>
      <c r="AV65" s="48">
        <v>0.2</v>
      </c>
      <c r="AW65" s="48">
        <v>0.1</v>
      </c>
      <c r="AX65" s="15"/>
      <c r="AY65" s="41" cm="1">
        <f t="array" ref="AY65">INDEX(Use, $AD65, 4)</f>
        <v>7</v>
      </c>
      <c r="AZ65" s="41">
        <f t="shared" si="9"/>
        <v>32</v>
      </c>
      <c r="BA65" s="41">
        <f t="shared" si="10"/>
        <v>13</v>
      </c>
      <c r="BB65" s="41">
        <f t="shared" si="11"/>
        <v>0</v>
      </c>
      <c r="BC65" s="57" cm="1">
        <f t="array" ref="BC65">K65/IF($L65&gt;0, INDEX($AO$12:$AU$66, $L65+20, $AD65), 1)</f>
        <v>0</v>
      </c>
      <c r="BD65" s="46">
        <f t="shared" si="12"/>
        <v>0</v>
      </c>
      <c r="BE65" s="41">
        <v>35</v>
      </c>
      <c r="BF65" s="46">
        <f t="shared" si="13"/>
        <v>52.55</v>
      </c>
      <c r="BG65" s="49">
        <f t="shared" si="14"/>
        <v>2.7676728869374316</v>
      </c>
      <c r="BH65" s="49" cm="1">
        <f t="array" ref="BH65">$BC65 * SUMPRODUCT(INDEX($AL$66:$AN$71,,$AE65),INDEX($AO$66:$AU$71,,$AD65), N($AK$66:$AK$71&gt;$AI65)) / BG65 / 1000</f>
        <v>0</v>
      </c>
      <c r="BI65" s="50">
        <f t="shared" si="15"/>
        <v>30</v>
      </c>
      <c r="BJ65" s="46">
        <f t="shared" si="16"/>
        <v>46.033333333333331</v>
      </c>
      <c r="BK65" s="49">
        <f t="shared" si="17"/>
        <v>3.2297395388556791</v>
      </c>
      <c r="BL65" s="49" cm="1">
        <f t="array" ref="BL65">$BC65 * IF($AD65&lt;=2,
SUMPRODUCT(INDEX($AL$61:$AN$65,,$AE65), INDEX($AO$61:$AU$65,,$AD65), 1 / ($AV$61:$AV$65*BK65 + (1-$AV$61:$AV$65)*BG65), N($AK$61:$AK$65&gt;$AI65)),
SUMPRODUCT(INDEX($AL$56:$AN$65,,$AE65), INDEX($AO$56:$AU$65,,$AD65), 1 / ($AW$56:$AW$65*BK65 + (1-$AW$56:$AW$65)*BG65), N($AK$56:$AK$65&gt;$AI65))
) / 1000</f>
        <v>0</v>
      </c>
      <c r="BM65" s="50">
        <f t="shared" si="18"/>
        <v>25</v>
      </c>
      <c r="BN65" s="46">
        <f t="shared" si="19"/>
        <v>39.516666666666666</v>
      </c>
      <c r="BO65" s="49">
        <f t="shared" si="20"/>
        <v>3.877011788826243</v>
      </c>
      <c r="BP65" s="49" cm="1">
        <f t="array" ref="BP65">$BC65 * IF($AD65&lt;=2,
SUMPRODUCT(INDEX($AL$56:$AN$60,,$AE65), INDEX($AO$56:$AU$60,,$AD65), 1 / ($AV$56:$AV$60*BO65 + (1-$AV$56:$AV$60)*BK65), N($AK$56:$AK$60&gt;$AI65)),
SUMPRODUCT(INDEX($AL$46:$AN$55,,$AE65), INDEX($AO$46:$AU$55,,$AD65), 1 / ($AW$46:$AW$55*BO65 + (1-$AW$46:$AW$55)*BK65), N($AK$46:$AK$55&gt;$AI65))
) / 1000</f>
        <v>0</v>
      </c>
      <c r="BQ65" s="50">
        <f t="shared" si="21"/>
        <v>20</v>
      </c>
      <c r="BR65" s="46">
        <f t="shared" si="22"/>
        <v>33</v>
      </c>
      <c r="BS65" s="49">
        <f t="shared" si="23"/>
        <v>4.8487499999999999</v>
      </c>
      <c r="BT65" s="49" cm="1">
        <f t="array" ref="BT65">$BC65 * IF($AD65&lt;=2,
SUMPRODUCT(INDEX($AL$51:$AN$55,,$AE65), INDEX($AO$51:$AU$55,,$AD65), 1 / ($AV$51:$AV$55*BS65 + (1-$AV$51:$AV$55)*BO65), N($AK$51:$AK$55&gt;$AI65)),
SUMPRODUCT(INDEX($AL$36:$AN$45,,$AE65), INDEX($AO$36:$AU$45,,$AD65), 1 / ($AW$36:$AW$45*BS65 + (1-$AW$36:$AW$45)*BO65), N($AK$36:$AK$45&gt;$AI65))
) / 1000</f>
        <v>0</v>
      </c>
      <c r="BU65" s="49" cm="1">
        <f t="array" ref="BU65">$BC65 * IF($AD65&lt;=2,
SUMPRODUCT(INDEX($AL$12:$AN$50,,$AE65), INDEX($AO$12:$AU$50,,$AD65), 1 / ($AV$12:$AV$50*BS65), N($AK$12:$AK$50&gt;$AI65)),
SUMPRODUCT(INDEX($AL$12:$AN$35,,$AE65), INDEX($AO$12:$AU$35,,$AD65), 1 / ($AW$12:$AW$35*BS65), N($AK$12:$AK$35&gt;$AI65))
) / 1000</f>
        <v>0</v>
      </c>
      <c r="BV65" s="46">
        <f t="shared" si="24"/>
        <v>0</v>
      </c>
      <c r="BW65" s="20"/>
      <c r="BX65" s="46">
        <f t="shared" si="25"/>
        <v>0</v>
      </c>
      <c r="BY65" s="41">
        <v>35</v>
      </c>
      <c r="BZ65" s="46">
        <f t="shared" si="26"/>
        <v>48</v>
      </c>
      <c r="CA65" s="49">
        <f t="shared" si="27"/>
        <v>3.0748170731707316</v>
      </c>
      <c r="CB65" s="49" cm="1">
        <f t="array" ref="CB65">$BC65 * SUMPRODUCT(INDEX($AL$66:$AN$71,,$AE65),INDEX($AO$66:$AU$71,,$AD65), N($AK$66:$AK$71&gt;$AI65)) / CA65 / 1000</f>
        <v>0</v>
      </c>
      <c r="CC65" s="50">
        <f t="shared" si="28"/>
        <v>30</v>
      </c>
      <c r="CD65" s="46">
        <f t="shared" si="29"/>
        <v>43</v>
      </c>
      <c r="CE65" s="49">
        <f t="shared" si="30"/>
        <v>3.5018750000000001</v>
      </c>
      <c r="CF65" s="49" cm="1">
        <f t="array" ref="CF65">$BC65 * IF($AD65&lt;=2,
SUMPRODUCT(INDEX($AL$61:$AN$65,,$AE65), INDEX($AO$61:$AU$65,,$AD65), 1 / ($AV$61:$AV$65*CE65 + (1-$AV$61:$AV$65)*CA65), N($AK$61:$AK$65&gt;$AI65)),
SUMPRODUCT(INDEX($AL$56:$AN$65,,$AE65), INDEX($AO$56:$AU$65,,$AD65), 1 / ($AW$56:$AW$65*CE65 + (1-$AW$56:$AW$65)*CA65), N($AK$56:$AK$65&gt;$AI65))
) / 1000</f>
        <v>0</v>
      </c>
      <c r="CG65" s="50">
        <f t="shared" si="31"/>
        <v>25</v>
      </c>
      <c r="CH65" s="46">
        <f t="shared" si="32"/>
        <v>38</v>
      </c>
      <c r="CI65" s="49">
        <f t="shared" si="33"/>
        <v>4.0666935483870965</v>
      </c>
      <c r="CJ65" s="49" cm="1">
        <f t="array" ref="CJ65">$BC65 * IF($AD65&lt;=2,
SUMPRODUCT(INDEX($AL$56:$AN$60,,$AE65), INDEX($AO$56:$AU$60,,$AD65), 1 / ($AV$56:$AV$60*CI65 + (1-$AV$56:$AV$60)*CE65), N($AK$56:$AK$60&gt;$AI65)),
SUMPRODUCT(INDEX($AL$46:$AN$55,,$AE65), INDEX($AO$46:$AU$55,,$AD65), 1 / ($AW$46:$AW$55*CI65 + (1-$AW$46:$AW$55)*CE65), N($AK$46:$AK$55&gt;$AI65))
) / 1000</f>
        <v>0</v>
      </c>
      <c r="CK65" s="50">
        <f t="shared" si="34"/>
        <v>20</v>
      </c>
      <c r="CL65" s="46">
        <f t="shared" si="35"/>
        <v>33</v>
      </c>
      <c r="CM65" s="49">
        <f t="shared" si="36"/>
        <v>4.8487499999999999</v>
      </c>
      <c r="CN65" s="49" cm="1">
        <f t="array" ref="CN65">$BC65 * IF($AD65&lt;=2,
SUMPRODUCT(INDEX($AL$51:$AN$55,,$AE65), INDEX($AO$51:$AU$55,,$AD65), 1 / ($AV$51:$AV$55*CM65 + (1-$AV$51:$AV$55)*CI65), N($AK$51:$AK$55&gt;$AI65)),
SUMPRODUCT(INDEX($AL$36:$AN$45,,$AE65), INDEX($AO$36:$AU$45,,$AD65), 1 / ($AW$36:$AW$45*CM65 + (1-$AW$36:$AW$45)*CI65), N($AK$36:$AK$45&gt;$AI65))
) / 1000</f>
        <v>0</v>
      </c>
      <c r="CO65" s="49" cm="1">
        <f t="array" ref="CO65">$BC65 * IF($AD65&lt;=2,
SUMPRODUCT(INDEX($AL$12:$AN$50,,$AE65), INDEX($AO$12:$AU$50,,$AD65), 1 / ($AV$12:$AV$50*CM65), N($AK$12:$AK$50&gt;$AI65)),
SUMPRODUCT(INDEX($AL$12:$AN$35,,$AE65), INDEX($AO$12:$AU$35,,$AD65), 1 / ($AW$12:$AW$35*CM65), N($AK$12:$AK$35&gt;$AI65))
) / 1000</f>
        <v>0</v>
      </c>
      <c r="CP65" s="46">
        <f t="shared" si="37"/>
        <v>0</v>
      </c>
      <c r="CQ65" s="20"/>
    </row>
    <row r="66" spans="1:95" s="95" customFormat="1" ht="14.25" customHeight="1" x14ac:dyDescent="0.25">
      <c r="A66" s="36" t="b">
        <f t="shared" si="38"/>
        <v>0</v>
      </c>
      <c r="B66" s="94">
        <v>55</v>
      </c>
      <c r="C66" s="7"/>
      <c r="D66" s="7"/>
      <c r="E66" s="33"/>
      <c r="F66" s="8" t="str">
        <f>IF(ISBLANK(E66), "", VLOOKUP(E66, Z!$A$2:$C$4127, 3, FALSE))</f>
        <v/>
      </c>
      <c r="G66" s="44"/>
      <c r="H66" s="44"/>
      <c r="I66" s="107"/>
      <c r="J66" s="108"/>
      <c r="K66" s="34"/>
      <c r="L66" s="59"/>
      <c r="M66" s="58" t="str" cm="1">
        <f t="array" ref="M66">IF($K66&gt;0, INDEX(Clean,1+AG66,$B$1), "")</f>
        <v/>
      </c>
      <c r="N66" s="62"/>
      <c r="O66" s="62"/>
      <c r="P66" s="63"/>
      <c r="Q66" s="52">
        <f t="shared" si="7"/>
        <v>0</v>
      </c>
      <c r="R66" s="58" t="str" cm="1">
        <f t="array" ref="R66">IF($K66&gt;0, INDEX(Clean,1+AH66,$B$1), "")</f>
        <v/>
      </c>
      <c r="S66" s="62"/>
      <c r="T66" s="62"/>
      <c r="U66" s="63"/>
      <c r="V66" s="52">
        <f t="shared" si="8"/>
        <v>0</v>
      </c>
      <c r="W66" s="6"/>
      <c r="X66" s="7"/>
      <c r="Y66" s="33"/>
      <c r="Z66" s="8" t="str">
        <f>IF(ISBLANK(Y66), "", VLOOKUP(Y66, Z!$A$2:$C$4127, 3, FALSE))</f>
        <v/>
      </c>
      <c r="AA66" s="38"/>
      <c r="AB66" s="9">
        <f t="shared" si="39"/>
        <v>0</v>
      </c>
      <c r="AC66" s="20"/>
      <c r="AD66" s="41">
        <f t="shared" si="40"/>
        <v>1</v>
      </c>
      <c r="AE66" s="41">
        <f t="shared" si="41"/>
        <v>1</v>
      </c>
      <c r="AF66" s="41">
        <f t="shared" si="42"/>
        <v>0</v>
      </c>
      <c r="AG66" s="41">
        <v>1</v>
      </c>
      <c r="AH66" s="41">
        <v>0</v>
      </c>
      <c r="AI66" s="41">
        <f t="shared" si="43"/>
        <v>-100</v>
      </c>
      <c r="AJ66" s="20"/>
      <c r="AK66" s="41">
        <v>35</v>
      </c>
      <c r="AL66" s="50">
        <v>0</v>
      </c>
      <c r="AM66" s="50">
        <v>2</v>
      </c>
      <c r="AN66" s="50">
        <v>0</v>
      </c>
      <c r="AO66" s="48">
        <f t="shared" si="6"/>
        <v>1</v>
      </c>
      <c r="AP66" s="48">
        <f t="shared" si="6"/>
        <v>1</v>
      </c>
      <c r="AQ66" s="48" cm="1">
        <f t="array" ref="AQ66">MIN(INDEX(Use,AQ$10,5) + MAX(0, (1-INDEX(Use,AQ$10,5))*($AK66-5)/(35-5)), 1)</f>
        <v>1</v>
      </c>
      <c r="AR66" s="48" cm="1">
        <f t="array" ref="AR66">MIN(INDEX(Use,AR$10,5) + MAX(0, (1-INDEX(Use,AR$10,5))*($AK66-5)/(35-5)), 1)</f>
        <v>1</v>
      </c>
      <c r="AS66" s="48" cm="1">
        <f t="array" ref="AS66">MIN(INDEX(Use,AS$10,5) + MAX(0, (1-INDEX(Use,AS$10,5))*($AK66-5)/(35-5)), 1)</f>
        <v>1</v>
      </c>
      <c r="AT66" s="48" cm="1">
        <f t="array" ref="AT66">MIN(INDEX(Use,AT$10,5) + MAX(0, (1-INDEX(Use,AT$10,5))*($AK66-5)/(35-5)), 1)</f>
        <v>1</v>
      </c>
      <c r="AU66" s="48" cm="1">
        <f t="array" ref="AU66">MIN(INDEX(Use,AU$10,5) + MAX(0, (1-INDEX(Use,AU$10,5))*($AK66-5)/(35-5)), 1)</f>
        <v>1</v>
      </c>
      <c r="AV66" s="48" t="s">
        <v>2</v>
      </c>
      <c r="AW66" s="48" t="s">
        <v>2</v>
      </c>
      <c r="AX66" s="15"/>
      <c r="AY66" s="41" cm="1">
        <f t="array" ref="AY66">INDEX(Use, $AD66, 4)</f>
        <v>7</v>
      </c>
      <c r="AZ66" s="41">
        <f t="shared" si="9"/>
        <v>32</v>
      </c>
      <c r="BA66" s="41">
        <f t="shared" si="10"/>
        <v>13</v>
      </c>
      <c r="BB66" s="41">
        <f t="shared" si="11"/>
        <v>0</v>
      </c>
      <c r="BC66" s="57" cm="1">
        <f t="array" ref="BC66">K66/IF($L66&gt;0, INDEX($AO$12:$AU$66, $L66+20, $AD66), 1)</f>
        <v>0</v>
      </c>
      <c r="BD66" s="46">
        <f t="shared" si="12"/>
        <v>0</v>
      </c>
      <c r="BE66" s="41">
        <v>35</v>
      </c>
      <c r="BF66" s="46">
        <f t="shared" si="13"/>
        <v>52.55</v>
      </c>
      <c r="BG66" s="49">
        <f t="shared" si="14"/>
        <v>2.7676728869374316</v>
      </c>
      <c r="BH66" s="49" cm="1">
        <f t="array" ref="BH66">$BC66 * SUMPRODUCT(INDEX($AL$66:$AN$71,,$AE66),INDEX($AO$66:$AU$71,,$AD66), N($AK$66:$AK$71&gt;$AI66)) / BG66 / 1000</f>
        <v>0</v>
      </c>
      <c r="BI66" s="50">
        <f t="shared" si="15"/>
        <v>30</v>
      </c>
      <c r="BJ66" s="46">
        <f t="shared" si="16"/>
        <v>46.033333333333331</v>
      </c>
      <c r="BK66" s="49">
        <f t="shared" si="17"/>
        <v>3.2297395388556791</v>
      </c>
      <c r="BL66" s="49" cm="1">
        <f t="array" ref="BL66">$BC66 * IF($AD66&lt;=2,
SUMPRODUCT(INDEX($AL$61:$AN$65,,$AE66), INDEX($AO$61:$AU$65,,$AD66), 1 / ($AV$61:$AV$65*BK66 + (1-$AV$61:$AV$65)*BG66), N($AK$61:$AK$65&gt;$AI66)),
SUMPRODUCT(INDEX($AL$56:$AN$65,,$AE66), INDEX($AO$56:$AU$65,,$AD66), 1 / ($AW$56:$AW$65*BK66 + (1-$AW$56:$AW$65)*BG66), N($AK$56:$AK$65&gt;$AI66))
) / 1000</f>
        <v>0</v>
      </c>
      <c r="BM66" s="50">
        <f t="shared" si="18"/>
        <v>25</v>
      </c>
      <c r="BN66" s="46">
        <f t="shared" si="19"/>
        <v>39.516666666666666</v>
      </c>
      <c r="BO66" s="49">
        <f t="shared" si="20"/>
        <v>3.877011788826243</v>
      </c>
      <c r="BP66" s="49" cm="1">
        <f t="array" ref="BP66">$BC66 * IF($AD66&lt;=2,
SUMPRODUCT(INDEX($AL$56:$AN$60,,$AE66), INDEX($AO$56:$AU$60,,$AD66), 1 / ($AV$56:$AV$60*BO66 + (1-$AV$56:$AV$60)*BK66), N($AK$56:$AK$60&gt;$AI66)),
SUMPRODUCT(INDEX($AL$46:$AN$55,,$AE66), INDEX($AO$46:$AU$55,,$AD66), 1 / ($AW$46:$AW$55*BO66 + (1-$AW$46:$AW$55)*BK66), N($AK$46:$AK$55&gt;$AI66))
) / 1000</f>
        <v>0</v>
      </c>
      <c r="BQ66" s="50">
        <f t="shared" si="21"/>
        <v>20</v>
      </c>
      <c r="BR66" s="46">
        <f t="shared" si="22"/>
        <v>33</v>
      </c>
      <c r="BS66" s="49">
        <f t="shared" si="23"/>
        <v>4.8487499999999999</v>
      </c>
      <c r="BT66" s="49" cm="1">
        <f t="array" ref="BT66">$BC66 * IF($AD66&lt;=2,
SUMPRODUCT(INDEX($AL$51:$AN$55,,$AE66), INDEX($AO$51:$AU$55,,$AD66), 1 / ($AV$51:$AV$55*BS66 + (1-$AV$51:$AV$55)*BO66), N($AK$51:$AK$55&gt;$AI66)),
SUMPRODUCT(INDEX($AL$36:$AN$45,,$AE66), INDEX($AO$36:$AU$45,,$AD66), 1 / ($AW$36:$AW$45*BS66 + (1-$AW$36:$AW$45)*BO66), N($AK$36:$AK$45&gt;$AI66))
) / 1000</f>
        <v>0</v>
      </c>
      <c r="BU66" s="49" cm="1">
        <f t="array" ref="BU66">$BC66 * IF($AD66&lt;=2,
SUMPRODUCT(INDEX($AL$12:$AN$50,,$AE66), INDEX($AO$12:$AU$50,,$AD66), 1 / ($AV$12:$AV$50*BS66), N($AK$12:$AK$50&gt;$AI66)),
SUMPRODUCT(INDEX($AL$12:$AN$35,,$AE66), INDEX($AO$12:$AU$35,,$AD66), 1 / ($AW$12:$AW$35*BS66), N($AK$12:$AK$35&gt;$AI66))
) / 1000</f>
        <v>0</v>
      </c>
      <c r="BV66" s="46">
        <f t="shared" si="24"/>
        <v>0</v>
      </c>
      <c r="BW66" s="20"/>
      <c r="BX66" s="46">
        <f t="shared" si="25"/>
        <v>0</v>
      </c>
      <c r="BY66" s="41">
        <v>35</v>
      </c>
      <c r="BZ66" s="46">
        <f t="shared" si="26"/>
        <v>48</v>
      </c>
      <c r="CA66" s="49">
        <f t="shared" si="27"/>
        <v>3.0748170731707316</v>
      </c>
      <c r="CB66" s="49" cm="1">
        <f t="array" ref="CB66">$BC66 * SUMPRODUCT(INDEX($AL$66:$AN$71,,$AE66),INDEX($AO$66:$AU$71,,$AD66), N($AK$66:$AK$71&gt;$AI66)) / CA66 / 1000</f>
        <v>0</v>
      </c>
      <c r="CC66" s="50">
        <f t="shared" si="28"/>
        <v>30</v>
      </c>
      <c r="CD66" s="46">
        <f t="shared" si="29"/>
        <v>43</v>
      </c>
      <c r="CE66" s="49">
        <f t="shared" si="30"/>
        <v>3.5018750000000001</v>
      </c>
      <c r="CF66" s="49" cm="1">
        <f t="array" ref="CF66">$BC66 * IF($AD66&lt;=2,
SUMPRODUCT(INDEX($AL$61:$AN$65,,$AE66), INDEX($AO$61:$AU$65,,$AD66), 1 / ($AV$61:$AV$65*CE66 + (1-$AV$61:$AV$65)*CA66), N($AK$61:$AK$65&gt;$AI66)),
SUMPRODUCT(INDEX($AL$56:$AN$65,,$AE66), INDEX($AO$56:$AU$65,,$AD66), 1 / ($AW$56:$AW$65*CE66 + (1-$AW$56:$AW$65)*CA66), N($AK$56:$AK$65&gt;$AI66))
) / 1000</f>
        <v>0</v>
      </c>
      <c r="CG66" s="50">
        <f t="shared" si="31"/>
        <v>25</v>
      </c>
      <c r="CH66" s="46">
        <f t="shared" si="32"/>
        <v>38</v>
      </c>
      <c r="CI66" s="49">
        <f t="shared" si="33"/>
        <v>4.0666935483870965</v>
      </c>
      <c r="CJ66" s="49" cm="1">
        <f t="array" ref="CJ66">$BC66 * IF($AD66&lt;=2,
SUMPRODUCT(INDEX($AL$56:$AN$60,,$AE66), INDEX($AO$56:$AU$60,,$AD66), 1 / ($AV$56:$AV$60*CI66 + (1-$AV$56:$AV$60)*CE66), N($AK$56:$AK$60&gt;$AI66)),
SUMPRODUCT(INDEX($AL$46:$AN$55,,$AE66), INDEX($AO$46:$AU$55,,$AD66), 1 / ($AW$46:$AW$55*CI66 + (1-$AW$46:$AW$55)*CE66), N($AK$46:$AK$55&gt;$AI66))
) / 1000</f>
        <v>0</v>
      </c>
      <c r="CK66" s="50">
        <f t="shared" si="34"/>
        <v>20</v>
      </c>
      <c r="CL66" s="46">
        <f t="shared" si="35"/>
        <v>33</v>
      </c>
      <c r="CM66" s="49">
        <f t="shared" si="36"/>
        <v>4.8487499999999999</v>
      </c>
      <c r="CN66" s="49" cm="1">
        <f t="array" ref="CN66">$BC66 * IF($AD66&lt;=2,
SUMPRODUCT(INDEX($AL$51:$AN$55,,$AE66), INDEX($AO$51:$AU$55,,$AD66), 1 / ($AV$51:$AV$55*CM66 + (1-$AV$51:$AV$55)*CI66), N($AK$51:$AK$55&gt;$AI66)),
SUMPRODUCT(INDEX($AL$36:$AN$45,,$AE66), INDEX($AO$36:$AU$45,,$AD66), 1 / ($AW$36:$AW$45*CM66 + (1-$AW$36:$AW$45)*CI66), N($AK$36:$AK$45&gt;$AI66))
) / 1000</f>
        <v>0</v>
      </c>
      <c r="CO66" s="49" cm="1">
        <f t="array" ref="CO66">$BC66 * IF($AD66&lt;=2,
SUMPRODUCT(INDEX($AL$12:$AN$50,,$AE66), INDEX($AO$12:$AU$50,,$AD66), 1 / ($AV$12:$AV$50*CM66), N($AK$12:$AK$50&gt;$AI66)),
SUMPRODUCT(INDEX($AL$12:$AN$35,,$AE66), INDEX($AO$12:$AU$35,,$AD66), 1 / ($AW$12:$AW$35*CM66), N($AK$12:$AK$35&gt;$AI66))
) / 1000</f>
        <v>0</v>
      </c>
      <c r="CP66" s="46">
        <f t="shared" si="37"/>
        <v>0</v>
      </c>
      <c r="CQ66" s="20"/>
    </row>
    <row r="67" spans="1:95" s="95" customFormat="1" ht="14.25" customHeight="1" x14ac:dyDescent="0.25">
      <c r="A67" s="36" t="b">
        <f t="shared" si="38"/>
        <v>0</v>
      </c>
      <c r="B67" s="94">
        <v>56</v>
      </c>
      <c r="C67" s="7"/>
      <c r="D67" s="7"/>
      <c r="E67" s="33"/>
      <c r="F67" s="8" t="str">
        <f>IF(ISBLANK(E67), "", VLOOKUP(E67, Z!$A$2:$C$4127, 3, FALSE))</f>
        <v/>
      </c>
      <c r="G67" s="44"/>
      <c r="H67" s="44"/>
      <c r="I67" s="107"/>
      <c r="J67" s="108"/>
      <c r="K67" s="34"/>
      <c r="L67" s="59"/>
      <c r="M67" s="58" t="str" cm="1">
        <f t="array" ref="M67">IF($K67&gt;0, INDEX(Clean,1+AG67,$B$1), "")</f>
        <v/>
      </c>
      <c r="N67" s="62"/>
      <c r="O67" s="62"/>
      <c r="P67" s="63"/>
      <c r="Q67" s="52">
        <f t="shared" si="7"/>
        <v>0</v>
      </c>
      <c r="R67" s="58" t="str" cm="1">
        <f t="array" ref="R67">IF($K67&gt;0, INDEX(Clean,1+AH67,$B$1), "")</f>
        <v/>
      </c>
      <c r="S67" s="62"/>
      <c r="T67" s="62"/>
      <c r="U67" s="63"/>
      <c r="V67" s="52">
        <f t="shared" si="8"/>
        <v>0</v>
      </c>
      <c r="W67" s="6"/>
      <c r="X67" s="7"/>
      <c r="Y67" s="33"/>
      <c r="Z67" s="8" t="str">
        <f>IF(ISBLANK(Y67), "", VLOOKUP(Y67, Z!$A$2:$C$4127, 3, FALSE))</f>
        <v/>
      </c>
      <c r="AA67" s="38"/>
      <c r="AB67" s="9">
        <f t="shared" si="39"/>
        <v>0</v>
      </c>
      <c r="AC67" s="20"/>
      <c r="AD67" s="41">
        <f t="shared" si="40"/>
        <v>1</v>
      </c>
      <c r="AE67" s="41">
        <f t="shared" si="41"/>
        <v>1</v>
      </c>
      <c r="AF67" s="41">
        <f t="shared" si="42"/>
        <v>0</v>
      </c>
      <c r="AG67" s="41">
        <v>1</v>
      </c>
      <c r="AH67" s="41">
        <v>0</v>
      </c>
      <c r="AI67" s="41">
        <f t="shared" si="43"/>
        <v>-100</v>
      </c>
      <c r="AJ67" s="20"/>
      <c r="AK67" s="41">
        <v>36</v>
      </c>
      <c r="AL67" s="50">
        <v>0</v>
      </c>
      <c r="AM67" s="50">
        <v>0</v>
      </c>
      <c r="AN67" s="50">
        <v>0</v>
      </c>
      <c r="AO67" s="48">
        <f t="shared" si="6"/>
        <v>1.0625</v>
      </c>
      <c r="AP67" s="48">
        <f t="shared" si="6"/>
        <v>1.0625</v>
      </c>
      <c r="AQ67" s="48" cm="1">
        <f t="array" ref="AQ67">MIN(INDEX(Use,AQ$10,5) + MAX(0, (1-INDEX(Use,AQ$10,5))*($AK67-5)/(35-5)), 1)</f>
        <v>1</v>
      </c>
      <c r="AR67" s="48" cm="1">
        <f t="array" ref="AR67">MIN(INDEX(Use,AR$10,5) + MAX(0, (1-INDEX(Use,AR$10,5))*($AK67-5)/(35-5)), 1)</f>
        <v>1</v>
      </c>
      <c r="AS67" s="48" cm="1">
        <f t="array" ref="AS67">MIN(INDEX(Use,AS$10,5) + MAX(0, (1-INDEX(Use,AS$10,5))*($AK67-5)/(35-5)), 1)</f>
        <v>1</v>
      </c>
      <c r="AT67" s="48" cm="1">
        <f t="array" ref="AT67">MIN(INDEX(Use,AT$10,5) + MAX(0, (1-INDEX(Use,AT$10,5))*($AK67-5)/(35-5)), 1)</f>
        <v>1</v>
      </c>
      <c r="AU67" s="48" cm="1">
        <f t="array" ref="AU67">MIN(INDEX(Use,AU$10,5) + MAX(0, (1-INDEX(Use,AU$10,5))*($AK67-5)/(35-5)), 1)</f>
        <v>1</v>
      </c>
      <c r="AV67" s="48" t="s">
        <v>2</v>
      </c>
      <c r="AW67" s="48" t="s">
        <v>2</v>
      </c>
      <c r="AX67" s="15"/>
      <c r="AY67" s="41" cm="1">
        <f t="array" ref="AY67">INDEX(Use, $AD67, 4)</f>
        <v>7</v>
      </c>
      <c r="AZ67" s="41">
        <f t="shared" si="9"/>
        <v>32</v>
      </c>
      <c r="BA67" s="41">
        <f t="shared" si="10"/>
        <v>13</v>
      </c>
      <c r="BB67" s="41">
        <f t="shared" si="11"/>
        <v>0</v>
      </c>
      <c r="BC67" s="57" cm="1">
        <f t="array" ref="BC67">K67/IF($L67&gt;0, INDEX($AO$12:$AU$66, $L67+20, $AD67), 1)</f>
        <v>0</v>
      </c>
      <c r="BD67" s="46">
        <f t="shared" si="12"/>
        <v>0</v>
      </c>
      <c r="BE67" s="41">
        <v>35</v>
      </c>
      <c r="BF67" s="46">
        <f t="shared" si="13"/>
        <v>52.55</v>
      </c>
      <c r="BG67" s="49">
        <f t="shared" si="14"/>
        <v>2.7676728869374316</v>
      </c>
      <c r="BH67" s="49" cm="1">
        <f t="array" ref="BH67">$BC67 * SUMPRODUCT(INDEX($AL$66:$AN$71,,$AE67),INDEX($AO$66:$AU$71,,$AD67), N($AK$66:$AK$71&gt;$AI67)) / BG67 / 1000</f>
        <v>0</v>
      </c>
      <c r="BI67" s="50">
        <f t="shared" si="15"/>
        <v>30</v>
      </c>
      <c r="BJ67" s="46">
        <f t="shared" si="16"/>
        <v>46.033333333333331</v>
      </c>
      <c r="BK67" s="49">
        <f t="shared" si="17"/>
        <v>3.2297395388556791</v>
      </c>
      <c r="BL67" s="49" cm="1">
        <f t="array" ref="BL67">$BC67 * IF($AD67&lt;=2,
SUMPRODUCT(INDEX($AL$61:$AN$65,,$AE67), INDEX($AO$61:$AU$65,,$AD67), 1 / ($AV$61:$AV$65*BK67 + (1-$AV$61:$AV$65)*BG67), N($AK$61:$AK$65&gt;$AI67)),
SUMPRODUCT(INDEX($AL$56:$AN$65,,$AE67), INDEX($AO$56:$AU$65,,$AD67), 1 / ($AW$56:$AW$65*BK67 + (1-$AW$56:$AW$65)*BG67), N($AK$56:$AK$65&gt;$AI67))
) / 1000</f>
        <v>0</v>
      </c>
      <c r="BM67" s="50">
        <f t="shared" si="18"/>
        <v>25</v>
      </c>
      <c r="BN67" s="46">
        <f t="shared" si="19"/>
        <v>39.516666666666666</v>
      </c>
      <c r="BO67" s="49">
        <f t="shared" si="20"/>
        <v>3.877011788826243</v>
      </c>
      <c r="BP67" s="49" cm="1">
        <f t="array" ref="BP67">$BC67 * IF($AD67&lt;=2,
SUMPRODUCT(INDEX($AL$56:$AN$60,,$AE67), INDEX($AO$56:$AU$60,,$AD67), 1 / ($AV$56:$AV$60*BO67 + (1-$AV$56:$AV$60)*BK67), N($AK$56:$AK$60&gt;$AI67)),
SUMPRODUCT(INDEX($AL$46:$AN$55,,$AE67), INDEX($AO$46:$AU$55,,$AD67), 1 / ($AW$46:$AW$55*BO67 + (1-$AW$46:$AW$55)*BK67), N($AK$46:$AK$55&gt;$AI67))
) / 1000</f>
        <v>0</v>
      </c>
      <c r="BQ67" s="50">
        <f t="shared" si="21"/>
        <v>20</v>
      </c>
      <c r="BR67" s="46">
        <f t="shared" si="22"/>
        <v>33</v>
      </c>
      <c r="BS67" s="49">
        <f t="shared" si="23"/>
        <v>4.8487499999999999</v>
      </c>
      <c r="BT67" s="49" cm="1">
        <f t="array" ref="BT67">$BC67 * IF($AD67&lt;=2,
SUMPRODUCT(INDEX($AL$51:$AN$55,,$AE67), INDEX($AO$51:$AU$55,,$AD67), 1 / ($AV$51:$AV$55*BS67 + (1-$AV$51:$AV$55)*BO67), N($AK$51:$AK$55&gt;$AI67)),
SUMPRODUCT(INDEX($AL$36:$AN$45,,$AE67), INDEX($AO$36:$AU$45,,$AD67), 1 / ($AW$36:$AW$45*BS67 + (1-$AW$36:$AW$45)*BO67), N($AK$36:$AK$45&gt;$AI67))
) / 1000</f>
        <v>0</v>
      </c>
      <c r="BU67" s="49" cm="1">
        <f t="array" ref="BU67">$BC67 * IF($AD67&lt;=2,
SUMPRODUCT(INDEX($AL$12:$AN$50,,$AE67), INDEX($AO$12:$AU$50,,$AD67), 1 / ($AV$12:$AV$50*BS67), N($AK$12:$AK$50&gt;$AI67)),
SUMPRODUCT(INDEX($AL$12:$AN$35,,$AE67), INDEX($AO$12:$AU$35,,$AD67), 1 / ($AW$12:$AW$35*BS67), N($AK$12:$AK$35&gt;$AI67))
) / 1000</f>
        <v>0</v>
      </c>
      <c r="BV67" s="46">
        <f t="shared" si="24"/>
        <v>0</v>
      </c>
      <c r="BW67" s="20"/>
      <c r="BX67" s="46">
        <f t="shared" si="25"/>
        <v>0</v>
      </c>
      <c r="BY67" s="41">
        <v>35</v>
      </c>
      <c r="BZ67" s="46">
        <f t="shared" si="26"/>
        <v>48</v>
      </c>
      <c r="CA67" s="49">
        <f t="shared" si="27"/>
        <v>3.0748170731707316</v>
      </c>
      <c r="CB67" s="49" cm="1">
        <f t="array" ref="CB67">$BC67 * SUMPRODUCT(INDEX($AL$66:$AN$71,,$AE67),INDEX($AO$66:$AU$71,,$AD67), N($AK$66:$AK$71&gt;$AI67)) / CA67 / 1000</f>
        <v>0</v>
      </c>
      <c r="CC67" s="50">
        <f t="shared" si="28"/>
        <v>30</v>
      </c>
      <c r="CD67" s="46">
        <f t="shared" si="29"/>
        <v>43</v>
      </c>
      <c r="CE67" s="49">
        <f t="shared" si="30"/>
        <v>3.5018750000000001</v>
      </c>
      <c r="CF67" s="49" cm="1">
        <f t="array" ref="CF67">$BC67 * IF($AD67&lt;=2,
SUMPRODUCT(INDEX($AL$61:$AN$65,,$AE67), INDEX($AO$61:$AU$65,,$AD67), 1 / ($AV$61:$AV$65*CE67 + (1-$AV$61:$AV$65)*CA67), N($AK$61:$AK$65&gt;$AI67)),
SUMPRODUCT(INDEX($AL$56:$AN$65,,$AE67), INDEX($AO$56:$AU$65,,$AD67), 1 / ($AW$56:$AW$65*CE67 + (1-$AW$56:$AW$65)*CA67), N($AK$56:$AK$65&gt;$AI67))
) / 1000</f>
        <v>0</v>
      </c>
      <c r="CG67" s="50">
        <f t="shared" si="31"/>
        <v>25</v>
      </c>
      <c r="CH67" s="46">
        <f t="shared" si="32"/>
        <v>38</v>
      </c>
      <c r="CI67" s="49">
        <f t="shared" si="33"/>
        <v>4.0666935483870965</v>
      </c>
      <c r="CJ67" s="49" cm="1">
        <f t="array" ref="CJ67">$BC67 * IF($AD67&lt;=2,
SUMPRODUCT(INDEX($AL$56:$AN$60,,$AE67), INDEX($AO$56:$AU$60,,$AD67), 1 / ($AV$56:$AV$60*CI67 + (1-$AV$56:$AV$60)*CE67), N($AK$56:$AK$60&gt;$AI67)),
SUMPRODUCT(INDEX($AL$46:$AN$55,,$AE67), INDEX($AO$46:$AU$55,,$AD67), 1 / ($AW$46:$AW$55*CI67 + (1-$AW$46:$AW$55)*CE67), N($AK$46:$AK$55&gt;$AI67))
) / 1000</f>
        <v>0</v>
      </c>
      <c r="CK67" s="50">
        <f t="shared" si="34"/>
        <v>20</v>
      </c>
      <c r="CL67" s="46">
        <f t="shared" si="35"/>
        <v>33</v>
      </c>
      <c r="CM67" s="49">
        <f t="shared" si="36"/>
        <v>4.8487499999999999</v>
      </c>
      <c r="CN67" s="49" cm="1">
        <f t="array" ref="CN67">$BC67 * IF($AD67&lt;=2,
SUMPRODUCT(INDEX($AL$51:$AN$55,,$AE67), INDEX($AO$51:$AU$55,,$AD67), 1 / ($AV$51:$AV$55*CM67 + (1-$AV$51:$AV$55)*CI67), N($AK$51:$AK$55&gt;$AI67)),
SUMPRODUCT(INDEX($AL$36:$AN$45,,$AE67), INDEX($AO$36:$AU$45,,$AD67), 1 / ($AW$36:$AW$45*CM67 + (1-$AW$36:$AW$45)*CI67), N($AK$36:$AK$45&gt;$AI67))
) / 1000</f>
        <v>0</v>
      </c>
      <c r="CO67" s="49" cm="1">
        <f t="array" ref="CO67">$BC67 * IF($AD67&lt;=2,
SUMPRODUCT(INDEX($AL$12:$AN$50,,$AE67), INDEX($AO$12:$AU$50,,$AD67), 1 / ($AV$12:$AV$50*CM67), N($AK$12:$AK$50&gt;$AI67)),
SUMPRODUCT(INDEX($AL$12:$AN$35,,$AE67), INDEX($AO$12:$AU$35,,$AD67), 1 / ($AW$12:$AW$35*CM67), N($AK$12:$AK$35&gt;$AI67))
) / 1000</f>
        <v>0</v>
      </c>
      <c r="CP67" s="46">
        <f t="shared" si="37"/>
        <v>0</v>
      </c>
      <c r="CQ67" s="20"/>
    </row>
    <row r="68" spans="1:95" s="95" customFormat="1" ht="14.25" customHeight="1" x14ac:dyDescent="0.25">
      <c r="A68" s="36" t="b">
        <f t="shared" si="38"/>
        <v>0</v>
      </c>
      <c r="B68" s="94">
        <v>57</v>
      </c>
      <c r="C68" s="7"/>
      <c r="D68" s="7"/>
      <c r="E68" s="33"/>
      <c r="F68" s="8" t="str">
        <f>IF(ISBLANK(E68), "", VLOOKUP(E68, Z!$A$2:$C$4127, 3, FALSE))</f>
        <v/>
      </c>
      <c r="G68" s="44"/>
      <c r="H68" s="44"/>
      <c r="I68" s="107"/>
      <c r="J68" s="108"/>
      <c r="K68" s="34"/>
      <c r="L68" s="59"/>
      <c r="M68" s="58" t="str" cm="1">
        <f t="array" ref="M68">IF($K68&gt;0, INDEX(Clean,1+AG68,$B$1), "")</f>
        <v/>
      </c>
      <c r="N68" s="62"/>
      <c r="O68" s="62"/>
      <c r="P68" s="63"/>
      <c r="Q68" s="52">
        <f t="shared" si="7"/>
        <v>0</v>
      </c>
      <c r="R68" s="58" t="str" cm="1">
        <f t="array" ref="R68">IF($K68&gt;0, INDEX(Clean,1+AH68,$B$1), "")</f>
        <v/>
      </c>
      <c r="S68" s="62"/>
      <c r="T68" s="62"/>
      <c r="U68" s="63"/>
      <c r="V68" s="52">
        <f t="shared" si="8"/>
        <v>0</v>
      </c>
      <c r="W68" s="6"/>
      <c r="X68" s="7"/>
      <c r="Y68" s="33"/>
      <c r="Z68" s="8" t="str">
        <f>IF(ISBLANK(Y68), "", VLOOKUP(Y68, Z!$A$2:$C$4127, 3, FALSE))</f>
        <v/>
      </c>
      <c r="AA68" s="38"/>
      <c r="AB68" s="9">
        <f t="shared" si="39"/>
        <v>0</v>
      </c>
      <c r="AC68" s="20"/>
      <c r="AD68" s="41">
        <f t="shared" si="40"/>
        <v>1</v>
      </c>
      <c r="AE68" s="41">
        <f t="shared" si="41"/>
        <v>1</v>
      </c>
      <c r="AF68" s="41">
        <f t="shared" si="42"/>
        <v>0</v>
      </c>
      <c r="AG68" s="41">
        <v>1</v>
      </c>
      <c r="AH68" s="41">
        <v>0</v>
      </c>
      <c r="AI68" s="41">
        <f t="shared" si="43"/>
        <v>-100</v>
      </c>
      <c r="AJ68" s="20"/>
      <c r="AK68" s="41">
        <v>37</v>
      </c>
      <c r="AL68" s="50">
        <v>0</v>
      </c>
      <c r="AM68" s="50">
        <v>0</v>
      </c>
      <c r="AN68" s="50">
        <v>0</v>
      </c>
      <c r="AO68" s="48">
        <f t="shared" si="6"/>
        <v>1.125</v>
      </c>
      <c r="AP68" s="48">
        <f t="shared" si="6"/>
        <v>1.125</v>
      </c>
      <c r="AQ68" s="48" cm="1">
        <f t="array" ref="AQ68">MIN(INDEX(Use,AQ$10,5) + MAX(0, (1-INDEX(Use,AQ$10,5))*($AK68-5)/(35-5)), 1)</f>
        <v>1</v>
      </c>
      <c r="AR68" s="48" cm="1">
        <f t="array" ref="AR68">MIN(INDEX(Use,AR$10,5) + MAX(0, (1-INDEX(Use,AR$10,5))*($AK68-5)/(35-5)), 1)</f>
        <v>1</v>
      </c>
      <c r="AS68" s="48" cm="1">
        <f t="array" ref="AS68">MIN(INDEX(Use,AS$10,5) + MAX(0, (1-INDEX(Use,AS$10,5))*($AK68-5)/(35-5)), 1)</f>
        <v>1</v>
      </c>
      <c r="AT68" s="48" cm="1">
        <f t="array" ref="AT68">MIN(INDEX(Use,AT$10,5) + MAX(0, (1-INDEX(Use,AT$10,5))*($AK68-5)/(35-5)), 1)</f>
        <v>1</v>
      </c>
      <c r="AU68" s="48" cm="1">
        <f t="array" ref="AU68">MIN(INDEX(Use,AU$10,5) + MAX(0, (1-INDEX(Use,AU$10,5))*($AK68-5)/(35-5)), 1)</f>
        <v>1</v>
      </c>
      <c r="AV68" s="48" t="s">
        <v>2</v>
      </c>
      <c r="AW68" s="48" t="s">
        <v>2</v>
      </c>
      <c r="AX68" s="15"/>
      <c r="AY68" s="41" cm="1">
        <f t="array" ref="AY68">INDEX(Use, $AD68, 4)</f>
        <v>7</v>
      </c>
      <c r="AZ68" s="41">
        <f t="shared" si="9"/>
        <v>32</v>
      </c>
      <c r="BA68" s="41">
        <f t="shared" si="10"/>
        <v>13</v>
      </c>
      <c r="BB68" s="41">
        <f t="shared" si="11"/>
        <v>0</v>
      </c>
      <c r="BC68" s="57" cm="1">
        <f t="array" ref="BC68">K68/IF($L68&gt;0, INDEX($AO$12:$AU$66, $L68+20, $AD68), 1)</f>
        <v>0</v>
      </c>
      <c r="BD68" s="46">
        <f t="shared" si="12"/>
        <v>0</v>
      </c>
      <c r="BE68" s="41">
        <v>35</v>
      </c>
      <c r="BF68" s="46">
        <f t="shared" si="13"/>
        <v>52.55</v>
      </c>
      <c r="BG68" s="49">
        <f t="shared" si="14"/>
        <v>2.7676728869374316</v>
      </c>
      <c r="BH68" s="49" cm="1">
        <f t="array" ref="BH68">$BC68 * SUMPRODUCT(INDEX($AL$66:$AN$71,,$AE68),INDEX($AO$66:$AU$71,,$AD68), N($AK$66:$AK$71&gt;$AI68)) / BG68 / 1000</f>
        <v>0</v>
      </c>
      <c r="BI68" s="50">
        <f t="shared" si="15"/>
        <v>30</v>
      </c>
      <c r="BJ68" s="46">
        <f t="shared" si="16"/>
        <v>46.033333333333331</v>
      </c>
      <c r="BK68" s="49">
        <f t="shared" si="17"/>
        <v>3.2297395388556791</v>
      </c>
      <c r="BL68" s="49" cm="1">
        <f t="array" ref="BL68">$BC68 * IF($AD68&lt;=2,
SUMPRODUCT(INDEX($AL$61:$AN$65,,$AE68), INDEX($AO$61:$AU$65,,$AD68), 1 / ($AV$61:$AV$65*BK68 + (1-$AV$61:$AV$65)*BG68), N($AK$61:$AK$65&gt;$AI68)),
SUMPRODUCT(INDEX($AL$56:$AN$65,,$AE68), INDEX($AO$56:$AU$65,,$AD68), 1 / ($AW$56:$AW$65*BK68 + (1-$AW$56:$AW$65)*BG68), N($AK$56:$AK$65&gt;$AI68))
) / 1000</f>
        <v>0</v>
      </c>
      <c r="BM68" s="50">
        <f t="shared" si="18"/>
        <v>25</v>
      </c>
      <c r="BN68" s="46">
        <f t="shared" si="19"/>
        <v>39.516666666666666</v>
      </c>
      <c r="BO68" s="49">
        <f t="shared" si="20"/>
        <v>3.877011788826243</v>
      </c>
      <c r="BP68" s="49" cm="1">
        <f t="array" ref="BP68">$BC68 * IF($AD68&lt;=2,
SUMPRODUCT(INDEX($AL$56:$AN$60,,$AE68), INDEX($AO$56:$AU$60,,$AD68), 1 / ($AV$56:$AV$60*BO68 + (1-$AV$56:$AV$60)*BK68), N($AK$56:$AK$60&gt;$AI68)),
SUMPRODUCT(INDEX($AL$46:$AN$55,,$AE68), INDEX($AO$46:$AU$55,,$AD68), 1 / ($AW$46:$AW$55*BO68 + (1-$AW$46:$AW$55)*BK68), N($AK$46:$AK$55&gt;$AI68))
) / 1000</f>
        <v>0</v>
      </c>
      <c r="BQ68" s="50">
        <f t="shared" si="21"/>
        <v>20</v>
      </c>
      <c r="BR68" s="46">
        <f t="shared" si="22"/>
        <v>33</v>
      </c>
      <c r="BS68" s="49">
        <f t="shared" si="23"/>
        <v>4.8487499999999999</v>
      </c>
      <c r="BT68" s="49" cm="1">
        <f t="array" ref="BT68">$BC68 * IF($AD68&lt;=2,
SUMPRODUCT(INDEX($AL$51:$AN$55,,$AE68), INDEX($AO$51:$AU$55,,$AD68), 1 / ($AV$51:$AV$55*BS68 + (1-$AV$51:$AV$55)*BO68), N($AK$51:$AK$55&gt;$AI68)),
SUMPRODUCT(INDEX($AL$36:$AN$45,,$AE68), INDEX($AO$36:$AU$45,,$AD68), 1 / ($AW$36:$AW$45*BS68 + (1-$AW$36:$AW$45)*BO68), N($AK$36:$AK$45&gt;$AI68))
) / 1000</f>
        <v>0</v>
      </c>
      <c r="BU68" s="49" cm="1">
        <f t="array" ref="BU68">$BC68 * IF($AD68&lt;=2,
SUMPRODUCT(INDEX($AL$12:$AN$50,,$AE68), INDEX($AO$12:$AU$50,,$AD68), 1 / ($AV$12:$AV$50*BS68), N($AK$12:$AK$50&gt;$AI68)),
SUMPRODUCT(INDEX($AL$12:$AN$35,,$AE68), INDEX($AO$12:$AU$35,,$AD68), 1 / ($AW$12:$AW$35*BS68), N($AK$12:$AK$35&gt;$AI68))
) / 1000</f>
        <v>0</v>
      </c>
      <c r="BV68" s="46">
        <f t="shared" si="24"/>
        <v>0</v>
      </c>
      <c r="BW68" s="20"/>
      <c r="BX68" s="46">
        <f t="shared" si="25"/>
        <v>0</v>
      </c>
      <c r="BY68" s="41">
        <v>35</v>
      </c>
      <c r="BZ68" s="46">
        <f t="shared" si="26"/>
        <v>48</v>
      </c>
      <c r="CA68" s="49">
        <f t="shared" si="27"/>
        <v>3.0748170731707316</v>
      </c>
      <c r="CB68" s="49" cm="1">
        <f t="array" ref="CB68">$BC68 * SUMPRODUCT(INDEX($AL$66:$AN$71,,$AE68),INDEX($AO$66:$AU$71,,$AD68), N($AK$66:$AK$71&gt;$AI68)) / CA68 / 1000</f>
        <v>0</v>
      </c>
      <c r="CC68" s="50">
        <f t="shared" si="28"/>
        <v>30</v>
      </c>
      <c r="CD68" s="46">
        <f t="shared" si="29"/>
        <v>43</v>
      </c>
      <c r="CE68" s="49">
        <f t="shared" si="30"/>
        <v>3.5018750000000001</v>
      </c>
      <c r="CF68" s="49" cm="1">
        <f t="array" ref="CF68">$BC68 * IF($AD68&lt;=2,
SUMPRODUCT(INDEX($AL$61:$AN$65,,$AE68), INDEX($AO$61:$AU$65,,$AD68), 1 / ($AV$61:$AV$65*CE68 + (1-$AV$61:$AV$65)*CA68), N($AK$61:$AK$65&gt;$AI68)),
SUMPRODUCT(INDEX($AL$56:$AN$65,,$AE68), INDEX($AO$56:$AU$65,,$AD68), 1 / ($AW$56:$AW$65*CE68 + (1-$AW$56:$AW$65)*CA68), N($AK$56:$AK$65&gt;$AI68))
) / 1000</f>
        <v>0</v>
      </c>
      <c r="CG68" s="50">
        <f t="shared" si="31"/>
        <v>25</v>
      </c>
      <c r="CH68" s="46">
        <f t="shared" si="32"/>
        <v>38</v>
      </c>
      <c r="CI68" s="49">
        <f t="shared" si="33"/>
        <v>4.0666935483870965</v>
      </c>
      <c r="CJ68" s="49" cm="1">
        <f t="array" ref="CJ68">$BC68 * IF($AD68&lt;=2,
SUMPRODUCT(INDEX($AL$56:$AN$60,,$AE68), INDEX($AO$56:$AU$60,,$AD68), 1 / ($AV$56:$AV$60*CI68 + (1-$AV$56:$AV$60)*CE68), N($AK$56:$AK$60&gt;$AI68)),
SUMPRODUCT(INDEX($AL$46:$AN$55,,$AE68), INDEX($AO$46:$AU$55,,$AD68), 1 / ($AW$46:$AW$55*CI68 + (1-$AW$46:$AW$55)*CE68), N($AK$46:$AK$55&gt;$AI68))
) / 1000</f>
        <v>0</v>
      </c>
      <c r="CK68" s="50">
        <f t="shared" si="34"/>
        <v>20</v>
      </c>
      <c r="CL68" s="46">
        <f t="shared" si="35"/>
        <v>33</v>
      </c>
      <c r="CM68" s="49">
        <f t="shared" si="36"/>
        <v>4.8487499999999999</v>
      </c>
      <c r="CN68" s="49" cm="1">
        <f t="array" ref="CN68">$BC68 * IF($AD68&lt;=2,
SUMPRODUCT(INDEX($AL$51:$AN$55,,$AE68), INDEX($AO$51:$AU$55,,$AD68), 1 / ($AV$51:$AV$55*CM68 + (1-$AV$51:$AV$55)*CI68), N($AK$51:$AK$55&gt;$AI68)),
SUMPRODUCT(INDEX($AL$36:$AN$45,,$AE68), INDEX($AO$36:$AU$45,,$AD68), 1 / ($AW$36:$AW$45*CM68 + (1-$AW$36:$AW$45)*CI68), N($AK$36:$AK$45&gt;$AI68))
) / 1000</f>
        <v>0</v>
      </c>
      <c r="CO68" s="49" cm="1">
        <f t="array" ref="CO68">$BC68 * IF($AD68&lt;=2,
SUMPRODUCT(INDEX($AL$12:$AN$50,,$AE68), INDEX($AO$12:$AU$50,,$AD68), 1 / ($AV$12:$AV$50*CM68), N($AK$12:$AK$50&gt;$AI68)),
SUMPRODUCT(INDEX($AL$12:$AN$35,,$AE68), INDEX($AO$12:$AU$35,,$AD68), 1 / ($AW$12:$AW$35*CM68), N($AK$12:$AK$35&gt;$AI68))
) / 1000</f>
        <v>0</v>
      </c>
      <c r="CP68" s="46">
        <f t="shared" si="37"/>
        <v>0</v>
      </c>
      <c r="CQ68" s="20"/>
    </row>
    <row r="69" spans="1:95" s="95" customFormat="1" ht="14.25" customHeight="1" x14ac:dyDescent="0.25">
      <c r="A69" s="36" t="b">
        <f t="shared" si="38"/>
        <v>0</v>
      </c>
      <c r="B69" s="94">
        <v>58</v>
      </c>
      <c r="C69" s="7"/>
      <c r="D69" s="7"/>
      <c r="E69" s="33"/>
      <c r="F69" s="8" t="str">
        <f>IF(ISBLANK(E69), "", VLOOKUP(E69, Z!$A$2:$C$4127, 3, FALSE))</f>
        <v/>
      </c>
      <c r="G69" s="44"/>
      <c r="H69" s="44"/>
      <c r="I69" s="107"/>
      <c r="J69" s="108"/>
      <c r="K69" s="34"/>
      <c r="L69" s="59"/>
      <c r="M69" s="58" t="str" cm="1">
        <f t="array" ref="M69">IF($K69&gt;0, INDEX(Clean,1+AG69,$B$1), "")</f>
        <v/>
      </c>
      <c r="N69" s="62"/>
      <c r="O69" s="62"/>
      <c r="P69" s="63"/>
      <c r="Q69" s="52">
        <f t="shared" si="7"/>
        <v>0</v>
      </c>
      <c r="R69" s="58" t="str" cm="1">
        <f t="array" ref="R69">IF($K69&gt;0, INDEX(Clean,1+AH69,$B$1), "")</f>
        <v/>
      </c>
      <c r="S69" s="62"/>
      <c r="T69" s="62"/>
      <c r="U69" s="63"/>
      <c r="V69" s="52">
        <f t="shared" si="8"/>
        <v>0</v>
      </c>
      <c r="W69" s="6"/>
      <c r="X69" s="7"/>
      <c r="Y69" s="33"/>
      <c r="Z69" s="8" t="str">
        <f>IF(ISBLANK(Y69), "", VLOOKUP(Y69, Z!$A$2:$C$4127, 3, FALSE))</f>
        <v/>
      </c>
      <c r="AA69" s="38"/>
      <c r="AB69" s="9">
        <f t="shared" si="39"/>
        <v>0</v>
      </c>
      <c r="AC69" s="20"/>
      <c r="AD69" s="41">
        <f t="shared" si="40"/>
        <v>1</v>
      </c>
      <c r="AE69" s="41">
        <f t="shared" si="41"/>
        <v>1</v>
      </c>
      <c r="AF69" s="41">
        <f t="shared" si="42"/>
        <v>0</v>
      </c>
      <c r="AG69" s="41">
        <v>1</v>
      </c>
      <c r="AH69" s="41">
        <v>0</v>
      </c>
      <c r="AI69" s="41">
        <f t="shared" si="43"/>
        <v>-100</v>
      </c>
      <c r="AJ69" s="20"/>
      <c r="AK69" s="41">
        <v>38</v>
      </c>
      <c r="AL69" s="50">
        <v>0</v>
      </c>
      <c r="AM69" s="50">
        <v>0</v>
      </c>
      <c r="AN69" s="50">
        <v>0</v>
      </c>
      <c r="AO69" s="48">
        <f t="shared" si="6"/>
        <v>1.1875</v>
      </c>
      <c r="AP69" s="48">
        <f t="shared" si="6"/>
        <v>1.1875</v>
      </c>
      <c r="AQ69" s="48" cm="1">
        <f t="array" ref="AQ69">MIN(INDEX(Use,AQ$10,5) + MAX(0, (1-INDEX(Use,AQ$10,5))*($AK69-5)/(35-5)), 1)</f>
        <v>1</v>
      </c>
      <c r="AR69" s="48" cm="1">
        <f t="array" ref="AR69">MIN(INDEX(Use,AR$10,5) + MAX(0, (1-INDEX(Use,AR$10,5))*($AK69-5)/(35-5)), 1)</f>
        <v>1</v>
      </c>
      <c r="AS69" s="48" cm="1">
        <f t="array" ref="AS69">MIN(INDEX(Use,AS$10,5) + MAX(0, (1-INDEX(Use,AS$10,5))*($AK69-5)/(35-5)), 1)</f>
        <v>1</v>
      </c>
      <c r="AT69" s="48" cm="1">
        <f t="array" ref="AT69">MIN(INDEX(Use,AT$10,5) + MAX(0, (1-INDEX(Use,AT$10,5))*($AK69-5)/(35-5)), 1)</f>
        <v>1</v>
      </c>
      <c r="AU69" s="48" cm="1">
        <f t="array" ref="AU69">MIN(INDEX(Use,AU$10,5) + MAX(0, (1-INDEX(Use,AU$10,5))*($AK69-5)/(35-5)), 1)</f>
        <v>1</v>
      </c>
      <c r="AV69" s="48" t="s">
        <v>2</v>
      </c>
      <c r="AW69" s="48" t="s">
        <v>2</v>
      </c>
      <c r="AX69" s="15"/>
      <c r="AY69" s="41" cm="1">
        <f t="array" ref="AY69">INDEX(Use, $AD69, 4)</f>
        <v>7</v>
      </c>
      <c r="AZ69" s="41">
        <f t="shared" si="9"/>
        <v>32</v>
      </c>
      <c r="BA69" s="41">
        <f t="shared" si="10"/>
        <v>13</v>
      </c>
      <c r="BB69" s="41">
        <f t="shared" si="11"/>
        <v>0</v>
      </c>
      <c r="BC69" s="57" cm="1">
        <f t="array" ref="BC69">K69/IF($L69&gt;0, INDEX($AO$12:$AU$66, $L69+20, $AD69), 1)</f>
        <v>0</v>
      </c>
      <c r="BD69" s="46">
        <f t="shared" si="12"/>
        <v>0</v>
      </c>
      <c r="BE69" s="41">
        <v>35</v>
      </c>
      <c r="BF69" s="46">
        <f t="shared" si="13"/>
        <v>52.55</v>
      </c>
      <c r="BG69" s="49">
        <f t="shared" si="14"/>
        <v>2.7676728869374316</v>
      </c>
      <c r="BH69" s="49" cm="1">
        <f t="array" ref="BH69">$BC69 * SUMPRODUCT(INDEX($AL$66:$AN$71,,$AE69),INDEX($AO$66:$AU$71,,$AD69), N($AK$66:$AK$71&gt;$AI69)) / BG69 / 1000</f>
        <v>0</v>
      </c>
      <c r="BI69" s="50">
        <f t="shared" si="15"/>
        <v>30</v>
      </c>
      <c r="BJ69" s="46">
        <f t="shared" si="16"/>
        <v>46.033333333333331</v>
      </c>
      <c r="BK69" s="49">
        <f t="shared" si="17"/>
        <v>3.2297395388556791</v>
      </c>
      <c r="BL69" s="49" cm="1">
        <f t="array" ref="BL69">$BC69 * IF($AD69&lt;=2,
SUMPRODUCT(INDEX($AL$61:$AN$65,,$AE69), INDEX($AO$61:$AU$65,,$AD69), 1 / ($AV$61:$AV$65*BK69 + (1-$AV$61:$AV$65)*BG69), N($AK$61:$AK$65&gt;$AI69)),
SUMPRODUCT(INDEX($AL$56:$AN$65,,$AE69), INDEX($AO$56:$AU$65,,$AD69), 1 / ($AW$56:$AW$65*BK69 + (1-$AW$56:$AW$65)*BG69), N($AK$56:$AK$65&gt;$AI69))
) / 1000</f>
        <v>0</v>
      </c>
      <c r="BM69" s="50">
        <f t="shared" si="18"/>
        <v>25</v>
      </c>
      <c r="BN69" s="46">
        <f t="shared" si="19"/>
        <v>39.516666666666666</v>
      </c>
      <c r="BO69" s="49">
        <f t="shared" si="20"/>
        <v>3.877011788826243</v>
      </c>
      <c r="BP69" s="49" cm="1">
        <f t="array" ref="BP69">$BC69 * IF($AD69&lt;=2,
SUMPRODUCT(INDEX($AL$56:$AN$60,,$AE69), INDEX($AO$56:$AU$60,,$AD69), 1 / ($AV$56:$AV$60*BO69 + (1-$AV$56:$AV$60)*BK69), N($AK$56:$AK$60&gt;$AI69)),
SUMPRODUCT(INDEX($AL$46:$AN$55,,$AE69), INDEX($AO$46:$AU$55,,$AD69), 1 / ($AW$46:$AW$55*BO69 + (1-$AW$46:$AW$55)*BK69), N($AK$46:$AK$55&gt;$AI69))
) / 1000</f>
        <v>0</v>
      </c>
      <c r="BQ69" s="50">
        <f t="shared" si="21"/>
        <v>20</v>
      </c>
      <c r="BR69" s="46">
        <f t="shared" si="22"/>
        <v>33</v>
      </c>
      <c r="BS69" s="49">
        <f t="shared" si="23"/>
        <v>4.8487499999999999</v>
      </c>
      <c r="BT69" s="49" cm="1">
        <f t="array" ref="BT69">$BC69 * IF($AD69&lt;=2,
SUMPRODUCT(INDEX($AL$51:$AN$55,,$AE69), INDEX($AO$51:$AU$55,,$AD69), 1 / ($AV$51:$AV$55*BS69 + (1-$AV$51:$AV$55)*BO69), N($AK$51:$AK$55&gt;$AI69)),
SUMPRODUCT(INDEX($AL$36:$AN$45,,$AE69), INDEX($AO$36:$AU$45,,$AD69), 1 / ($AW$36:$AW$45*BS69 + (1-$AW$36:$AW$45)*BO69), N($AK$36:$AK$45&gt;$AI69))
) / 1000</f>
        <v>0</v>
      </c>
      <c r="BU69" s="49" cm="1">
        <f t="array" ref="BU69">$BC69 * IF($AD69&lt;=2,
SUMPRODUCT(INDEX($AL$12:$AN$50,,$AE69), INDEX($AO$12:$AU$50,,$AD69), 1 / ($AV$12:$AV$50*BS69), N($AK$12:$AK$50&gt;$AI69)),
SUMPRODUCT(INDEX($AL$12:$AN$35,,$AE69), INDEX($AO$12:$AU$35,,$AD69), 1 / ($AW$12:$AW$35*BS69), N($AK$12:$AK$35&gt;$AI69))
) / 1000</f>
        <v>0</v>
      </c>
      <c r="BV69" s="46">
        <f t="shared" si="24"/>
        <v>0</v>
      </c>
      <c r="BW69" s="20"/>
      <c r="BX69" s="46">
        <f t="shared" si="25"/>
        <v>0</v>
      </c>
      <c r="BY69" s="41">
        <v>35</v>
      </c>
      <c r="BZ69" s="46">
        <f t="shared" si="26"/>
        <v>48</v>
      </c>
      <c r="CA69" s="49">
        <f t="shared" si="27"/>
        <v>3.0748170731707316</v>
      </c>
      <c r="CB69" s="49" cm="1">
        <f t="array" ref="CB69">$BC69 * SUMPRODUCT(INDEX($AL$66:$AN$71,,$AE69),INDEX($AO$66:$AU$71,,$AD69), N($AK$66:$AK$71&gt;$AI69)) / CA69 / 1000</f>
        <v>0</v>
      </c>
      <c r="CC69" s="50">
        <f t="shared" si="28"/>
        <v>30</v>
      </c>
      <c r="CD69" s="46">
        <f t="shared" si="29"/>
        <v>43</v>
      </c>
      <c r="CE69" s="49">
        <f t="shared" si="30"/>
        <v>3.5018750000000001</v>
      </c>
      <c r="CF69" s="49" cm="1">
        <f t="array" ref="CF69">$BC69 * IF($AD69&lt;=2,
SUMPRODUCT(INDEX($AL$61:$AN$65,,$AE69), INDEX($AO$61:$AU$65,,$AD69), 1 / ($AV$61:$AV$65*CE69 + (1-$AV$61:$AV$65)*CA69), N($AK$61:$AK$65&gt;$AI69)),
SUMPRODUCT(INDEX($AL$56:$AN$65,,$AE69), INDEX($AO$56:$AU$65,,$AD69), 1 / ($AW$56:$AW$65*CE69 + (1-$AW$56:$AW$65)*CA69), N($AK$56:$AK$65&gt;$AI69))
) / 1000</f>
        <v>0</v>
      </c>
      <c r="CG69" s="50">
        <f t="shared" si="31"/>
        <v>25</v>
      </c>
      <c r="CH69" s="46">
        <f t="shared" si="32"/>
        <v>38</v>
      </c>
      <c r="CI69" s="49">
        <f t="shared" si="33"/>
        <v>4.0666935483870965</v>
      </c>
      <c r="CJ69" s="49" cm="1">
        <f t="array" ref="CJ69">$BC69 * IF($AD69&lt;=2,
SUMPRODUCT(INDEX($AL$56:$AN$60,,$AE69), INDEX($AO$56:$AU$60,,$AD69), 1 / ($AV$56:$AV$60*CI69 + (1-$AV$56:$AV$60)*CE69), N($AK$56:$AK$60&gt;$AI69)),
SUMPRODUCT(INDEX($AL$46:$AN$55,,$AE69), INDEX($AO$46:$AU$55,,$AD69), 1 / ($AW$46:$AW$55*CI69 + (1-$AW$46:$AW$55)*CE69), N($AK$46:$AK$55&gt;$AI69))
) / 1000</f>
        <v>0</v>
      </c>
      <c r="CK69" s="50">
        <f t="shared" si="34"/>
        <v>20</v>
      </c>
      <c r="CL69" s="46">
        <f t="shared" si="35"/>
        <v>33</v>
      </c>
      <c r="CM69" s="49">
        <f t="shared" si="36"/>
        <v>4.8487499999999999</v>
      </c>
      <c r="CN69" s="49" cm="1">
        <f t="array" ref="CN69">$BC69 * IF($AD69&lt;=2,
SUMPRODUCT(INDEX($AL$51:$AN$55,,$AE69), INDEX($AO$51:$AU$55,,$AD69), 1 / ($AV$51:$AV$55*CM69 + (1-$AV$51:$AV$55)*CI69), N($AK$51:$AK$55&gt;$AI69)),
SUMPRODUCT(INDEX($AL$36:$AN$45,,$AE69), INDEX($AO$36:$AU$45,,$AD69), 1 / ($AW$36:$AW$45*CM69 + (1-$AW$36:$AW$45)*CI69), N($AK$36:$AK$45&gt;$AI69))
) / 1000</f>
        <v>0</v>
      </c>
      <c r="CO69" s="49" cm="1">
        <f t="array" ref="CO69">$BC69 * IF($AD69&lt;=2,
SUMPRODUCT(INDEX($AL$12:$AN$50,,$AE69), INDEX($AO$12:$AU$50,,$AD69), 1 / ($AV$12:$AV$50*CM69), N($AK$12:$AK$50&gt;$AI69)),
SUMPRODUCT(INDEX($AL$12:$AN$35,,$AE69), INDEX($AO$12:$AU$35,,$AD69), 1 / ($AW$12:$AW$35*CM69), N($AK$12:$AK$35&gt;$AI69))
) / 1000</f>
        <v>0</v>
      </c>
      <c r="CP69" s="46">
        <f t="shared" si="37"/>
        <v>0</v>
      </c>
      <c r="CQ69" s="20"/>
    </row>
    <row r="70" spans="1:95" s="95" customFormat="1" ht="14.25" customHeight="1" x14ac:dyDescent="0.25">
      <c r="A70" s="36" t="b">
        <f t="shared" si="38"/>
        <v>0</v>
      </c>
      <c r="B70" s="94">
        <v>59</v>
      </c>
      <c r="C70" s="7"/>
      <c r="D70" s="7"/>
      <c r="E70" s="33"/>
      <c r="F70" s="8" t="str">
        <f>IF(ISBLANK(E70), "", VLOOKUP(E70, Z!$A$2:$C$4127, 3, FALSE))</f>
        <v/>
      </c>
      <c r="G70" s="44"/>
      <c r="H70" s="44"/>
      <c r="I70" s="107"/>
      <c r="J70" s="108"/>
      <c r="K70" s="34"/>
      <c r="L70" s="59"/>
      <c r="M70" s="58" t="str" cm="1">
        <f t="array" ref="M70">IF($K70&gt;0, INDEX(Clean,1+AG70,$B$1), "")</f>
        <v/>
      </c>
      <c r="N70" s="62"/>
      <c r="O70" s="62"/>
      <c r="P70" s="63"/>
      <c r="Q70" s="52">
        <f t="shared" si="7"/>
        <v>0</v>
      </c>
      <c r="R70" s="58" t="str" cm="1">
        <f t="array" ref="R70">IF($K70&gt;0, INDEX(Clean,1+AH70,$B$1), "")</f>
        <v/>
      </c>
      <c r="S70" s="62"/>
      <c r="T70" s="62"/>
      <c r="U70" s="63"/>
      <c r="V70" s="52">
        <f t="shared" si="8"/>
        <v>0</v>
      </c>
      <c r="W70" s="6"/>
      <c r="X70" s="7"/>
      <c r="Y70" s="33"/>
      <c r="Z70" s="8" t="str">
        <f>IF(ISBLANK(Y70), "", VLOOKUP(Y70, Z!$A$2:$C$4127, 3, FALSE))</f>
        <v/>
      </c>
      <c r="AA70" s="38"/>
      <c r="AB70" s="9">
        <f t="shared" si="39"/>
        <v>0</v>
      </c>
      <c r="AC70" s="20"/>
      <c r="AD70" s="41">
        <f t="shared" si="40"/>
        <v>1</v>
      </c>
      <c r="AE70" s="41">
        <f t="shared" si="41"/>
        <v>1</v>
      </c>
      <c r="AF70" s="41">
        <f t="shared" si="42"/>
        <v>0</v>
      </c>
      <c r="AG70" s="41">
        <v>1</v>
      </c>
      <c r="AH70" s="41">
        <v>0</v>
      </c>
      <c r="AI70" s="41">
        <f t="shared" si="43"/>
        <v>-100</v>
      </c>
      <c r="AJ70" s="20"/>
      <c r="AK70" s="41">
        <v>39</v>
      </c>
      <c r="AL70" s="50">
        <v>0</v>
      </c>
      <c r="AM70" s="50">
        <v>0</v>
      </c>
      <c r="AN70" s="50">
        <v>0</v>
      </c>
      <c r="AO70" s="48">
        <f t="shared" si="6"/>
        <v>1.25</v>
      </c>
      <c r="AP70" s="48">
        <f t="shared" si="6"/>
        <v>1.25</v>
      </c>
      <c r="AQ70" s="48" cm="1">
        <f t="array" ref="AQ70">MIN(INDEX(Use,AQ$10,5) + MAX(0, (1-INDEX(Use,AQ$10,5))*($AK70-5)/(35-5)), 1)</f>
        <v>1</v>
      </c>
      <c r="AR70" s="48" cm="1">
        <f t="array" ref="AR70">MIN(INDEX(Use,AR$10,5) + MAX(0, (1-INDEX(Use,AR$10,5))*($AK70-5)/(35-5)), 1)</f>
        <v>1</v>
      </c>
      <c r="AS70" s="48" cm="1">
        <f t="array" ref="AS70">MIN(INDEX(Use,AS$10,5) + MAX(0, (1-INDEX(Use,AS$10,5))*($AK70-5)/(35-5)), 1)</f>
        <v>1</v>
      </c>
      <c r="AT70" s="48" cm="1">
        <f t="array" ref="AT70">MIN(INDEX(Use,AT$10,5) + MAX(0, (1-INDEX(Use,AT$10,5))*($AK70-5)/(35-5)), 1)</f>
        <v>1</v>
      </c>
      <c r="AU70" s="48" cm="1">
        <f t="array" ref="AU70">MIN(INDEX(Use,AU$10,5) + MAX(0, (1-INDEX(Use,AU$10,5))*($AK70-5)/(35-5)), 1)</f>
        <v>1</v>
      </c>
      <c r="AV70" s="48" t="s">
        <v>2</v>
      </c>
      <c r="AW70" s="48" t="s">
        <v>2</v>
      </c>
      <c r="AX70" s="15"/>
      <c r="AY70" s="41" cm="1">
        <f t="array" ref="AY70">INDEX(Use, $AD70, 4)</f>
        <v>7</v>
      </c>
      <c r="AZ70" s="41">
        <f t="shared" si="9"/>
        <v>32</v>
      </c>
      <c r="BA70" s="41">
        <f t="shared" si="10"/>
        <v>13</v>
      </c>
      <c r="BB70" s="41">
        <f t="shared" si="11"/>
        <v>0</v>
      </c>
      <c r="BC70" s="57" cm="1">
        <f t="array" ref="BC70">K70/IF($L70&gt;0, INDEX($AO$12:$AU$66, $L70+20, $AD70), 1)</f>
        <v>0</v>
      </c>
      <c r="BD70" s="46">
        <f t="shared" si="12"/>
        <v>0</v>
      </c>
      <c r="BE70" s="41">
        <v>35</v>
      </c>
      <c r="BF70" s="46">
        <f t="shared" si="13"/>
        <v>52.55</v>
      </c>
      <c r="BG70" s="49">
        <f t="shared" si="14"/>
        <v>2.7676728869374316</v>
      </c>
      <c r="BH70" s="49" cm="1">
        <f t="array" ref="BH70">$BC70 * SUMPRODUCT(INDEX($AL$66:$AN$71,,$AE70),INDEX($AO$66:$AU$71,,$AD70), N($AK$66:$AK$71&gt;$AI70)) / BG70 / 1000</f>
        <v>0</v>
      </c>
      <c r="BI70" s="50">
        <f t="shared" si="15"/>
        <v>30</v>
      </c>
      <c r="BJ70" s="46">
        <f t="shared" si="16"/>
        <v>46.033333333333331</v>
      </c>
      <c r="BK70" s="49">
        <f t="shared" si="17"/>
        <v>3.2297395388556791</v>
      </c>
      <c r="BL70" s="49" cm="1">
        <f t="array" ref="BL70">$BC70 * IF($AD70&lt;=2,
SUMPRODUCT(INDEX($AL$61:$AN$65,,$AE70), INDEX($AO$61:$AU$65,,$AD70), 1 / ($AV$61:$AV$65*BK70 + (1-$AV$61:$AV$65)*BG70), N($AK$61:$AK$65&gt;$AI70)),
SUMPRODUCT(INDEX($AL$56:$AN$65,,$AE70), INDEX($AO$56:$AU$65,,$AD70), 1 / ($AW$56:$AW$65*BK70 + (1-$AW$56:$AW$65)*BG70), N($AK$56:$AK$65&gt;$AI70))
) / 1000</f>
        <v>0</v>
      </c>
      <c r="BM70" s="50">
        <f t="shared" si="18"/>
        <v>25</v>
      </c>
      <c r="BN70" s="46">
        <f t="shared" si="19"/>
        <v>39.516666666666666</v>
      </c>
      <c r="BO70" s="49">
        <f t="shared" si="20"/>
        <v>3.877011788826243</v>
      </c>
      <c r="BP70" s="49" cm="1">
        <f t="array" ref="BP70">$BC70 * IF($AD70&lt;=2,
SUMPRODUCT(INDEX($AL$56:$AN$60,,$AE70), INDEX($AO$56:$AU$60,,$AD70), 1 / ($AV$56:$AV$60*BO70 + (1-$AV$56:$AV$60)*BK70), N($AK$56:$AK$60&gt;$AI70)),
SUMPRODUCT(INDEX($AL$46:$AN$55,,$AE70), INDEX($AO$46:$AU$55,,$AD70), 1 / ($AW$46:$AW$55*BO70 + (1-$AW$46:$AW$55)*BK70), N($AK$46:$AK$55&gt;$AI70))
) / 1000</f>
        <v>0</v>
      </c>
      <c r="BQ70" s="50">
        <f t="shared" si="21"/>
        <v>20</v>
      </c>
      <c r="BR70" s="46">
        <f t="shared" si="22"/>
        <v>33</v>
      </c>
      <c r="BS70" s="49">
        <f t="shared" si="23"/>
        <v>4.8487499999999999</v>
      </c>
      <c r="BT70" s="49" cm="1">
        <f t="array" ref="BT70">$BC70 * IF($AD70&lt;=2,
SUMPRODUCT(INDEX($AL$51:$AN$55,,$AE70), INDEX($AO$51:$AU$55,,$AD70), 1 / ($AV$51:$AV$55*BS70 + (1-$AV$51:$AV$55)*BO70), N($AK$51:$AK$55&gt;$AI70)),
SUMPRODUCT(INDEX($AL$36:$AN$45,,$AE70), INDEX($AO$36:$AU$45,,$AD70), 1 / ($AW$36:$AW$45*BS70 + (1-$AW$36:$AW$45)*BO70), N($AK$36:$AK$45&gt;$AI70))
) / 1000</f>
        <v>0</v>
      </c>
      <c r="BU70" s="49" cm="1">
        <f t="array" ref="BU70">$BC70 * IF($AD70&lt;=2,
SUMPRODUCT(INDEX($AL$12:$AN$50,,$AE70), INDEX($AO$12:$AU$50,,$AD70), 1 / ($AV$12:$AV$50*BS70), N($AK$12:$AK$50&gt;$AI70)),
SUMPRODUCT(INDEX($AL$12:$AN$35,,$AE70), INDEX($AO$12:$AU$35,,$AD70), 1 / ($AW$12:$AW$35*BS70), N($AK$12:$AK$35&gt;$AI70))
) / 1000</f>
        <v>0</v>
      </c>
      <c r="BV70" s="46">
        <f t="shared" si="24"/>
        <v>0</v>
      </c>
      <c r="BW70" s="20"/>
      <c r="BX70" s="46">
        <f t="shared" si="25"/>
        <v>0</v>
      </c>
      <c r="BY70" s="41">
        <v>35</v>
      </c>
      <c r="BZ70" s="46">
        <f t="shared" si="26"/>
        <v>48</v>
      </c>
      <c r="CA70" s="49">
        <f t="shared" si="27"/>
        <v>3.0748170731707316</v>
      </c>
      <c r="CB70" s="49" cm="1">
        <f t="array" ref="CB70">$BC70 * SUMPRODUCT(INDEX($AL$66:$AN$71,,$AE70),INDEX($AO$66:$AU$71,,$AD70), N($AK$66:$AK$71&gt;$AI70)) / CA70 / 1000</f>
        <v>0</v>
      </c>
      <c r="CC70" s="50">
        <f t="shared" si="28"/>
        <v>30</v>
      </c>
      <c r="CD70" s="46">
        <f t="shared" si="29"/>
        <v>43</v>
      </c>
      <c r="CE70" s="49">
        <f t="shared" si="30"/>
        <v>3.5018750000000001</v>
      </c>
      <c r="CF70" s="49" cm="1">
        <f t="array" ref="CF70">$BC70 * IF($AD70&lt;=2,
SUMPRODUCT(INDEX($AL$61:$AN$65,,$AE70), INDEX($AO$61:$AU$65,,$AD70), 1 / ($AV$61:$AV$65*CE70 + (1-$AV$61:$AV$65)*CA70), N($AK$61:$AK$65&gt;$AI70)),
SUMPRODUCT(INDEX($AL$56:$AN$65,,$AE70), INDEX($AO$56:$AU$65,,$AD70), 1 / ($AW$56:$AW$65*CE70 + (1-$AW$56:$AW$65)*CA70), N($AK$56:$AK$65&gt;$AI70))
) / 1000</f>
        <v>0</v>
      </c>
      <c r="CG70" s="50">
        <f t="shared" si="31"/>
        <v>25</v>
      </c>
      <c r="CH70" s="46">
        <f t="shared" si="32"/>
        <v>38</v>
      </c>
      <c r="CI70" s="49">
        <f t="shared" si="33"/>
        <v>4.0666935483870965</v>
      </c>
      <c r="CJ70" s="49" cm="1">
        <f t="array" ref="CJ70">$BC70 * IF($AD70&lt;=2,
SUMPRODUCT(INDEX($AL$56:$AN$60,,$AE70), INDEX($AO$56:$AU$60,,$AD70), 1 / ($AV$56:$AV$60*CI70 + (1-$AV$56:$AV$60)*CE70), N($AK$56:$AK$60&gt;$AI70)),
SUMPRODUCT(INDEX($AL$46:$AN$55,,$AE70), INDEX($AO$46:$AU$55,,$AD70), 1 / ($AW$46:$AW$55*CI70 + (1-$AW$46:$AW$55)*CE70), N($AK$46:$AK$55&gt;$AI70))
) / 1000</f>
        <v>0</v>
      </c>
      <c r="CK70" s="50">
        <f t="shared" si="34"/>
        <v>20</v>
      </c>
      <c r="CL70" s="46">
        <f t="shared" si="35"/>
        <v>33</v>
      </c>
      <c r="CM70" s="49">
        <f t="shared" si="36"/>
        <v>4.8487499999999999</v>
      </c>
      <c r="CN70" s="49" cm="1">
        <f t="array" ref="CN70">$BC70 * IF($AD70&lt;=2,
SUMPRODUCT(INDEX($AL$51:$AN$55,,$AE70), INDEX($AO$51:$AU$55,,$AD70), 1 / ($AV$51:$AV$55*CM70 + (1-$AV$51:$AV$55)*CI70), N($AK$51:$AK$55&gt;$AI70)),
SUMPRODUCT(INDEX($AL$36:$AN$45,,$AE70), INDEX($AO$36:$AU$45,,$AD70), 1 / ($AW$36:$AW$45*CM70 + (1-$AW$36:$AW$45)*CI70), N($AK$36:$AK$45&gt;$AI70))
) / 1000</f>
        <v>0</v>
      </c>
      <c r="CO70" s="49" cm="1">
        <f t="array" ref="CO70">$BC70 * IF($AD70&lt;=2,
SUMPRODUCT(INDEX($AL$12:$AN$50,,$AE70), INDEX($AO$12:$AU$50,,$AD70), 1 / ($AV$12:$AV$50*CM70), N($AK$12:$AK$50&gt;$AI70)),
SUMPRODUCT(INDEX($AL$12:$AN$35,,$AE70), INDEX($AO$12:$AU$35,,$AD70), 1 / ($AW$12:$AW$35*CM70), N($AK$12:$AK$35&gt;$AI70))
) / 1000</f>
        <v>0</v>
      </c>
      <c r="CP70" s="46">
        <f t="shared" si="37"/>
        <v>0</v>
      </c>
      <c r="CQ70" s="20"/>
    </row>
    <row r="71" spans="1:95" s="95" customFormat="1" ht="14.25" customHeight="1" x14ac:dyDescent="0.25">
      <c r="A71" s="36" t="b">
        <f t="shared" si="38"/>
        <v>0</v>
      </c>
      <c r="B71" s="94">
        <v>60</v>
      </c>
      <c r="C71" s="7"/>
      <c r="D71" s="7"/>
      <c r="E71" s="33"/>
      <c r="F71" s="8" t="str">
        <f>IF(ISBLANK(E71), "", VLOOKUP(E71, Z!$A$2:$C$4127, 3, FALSE))</f>
        <v/>
      </c>
      <c r="G71" s="44"/>
      <c r="H71" s="44"/>
      <c r="I71" s="107"/>
      <c r="J71" s="108"/>
      <c r="K71" s="34"/>
      <c r="L71" s="59"/>
      <c r="M71" s="58" t="str" cm="1">
        <f t="array" ref="M71">IF($K71&gt;0, INDEX(Clean,1+AG71,$B$1), "")</f>
        <v/>
      </c>
      <c r="N71" s="62"/>
      <c r="O71" s="62"/>
      <c r="P71" s="63"/>
      <c r="Q71" s="52">
        <f t="shared" si="7"/>
        <v>0</v>
      </c>
      <c r="R71" s="58" t="str" cm="1">
        <f t="array" ref="R71">IF($K71&gt;0, INDEX(Clean,1+AH71,$B$1), "")</f>
        <v/>
      </c>
      <c r="S71" s="62"/>
      <c r="T71" s="62"/>
      <c r="U71" s="63"/>
      <c r="V71" s="52">
        <f t="shared" si="8"/>
        <v>0</v>
      </c>
      <c r="W71" s="6"/>
      <c r="X71" s="7"/>
      <c r="Y71" s="33"/>
      <c r="Z71" s="8" t="str">
        <f>IF(ISBLANK(Y71), "", VLOOKUP(Y71, Z!$A$2:$C$4127, 3, FALSE))</f>
        <v/>
      </c>
      <c r="AA71" s="38"/>
      <c r="AB71" s="9">
        <f t="shared" si="39"/>
        <v>0</v>
      </c>
      <c r="AC71" s="20"/>
      <c r="AD71" s="41">
        <f t="shared" si="40"/>
        <v>1</v>
      </c>
      <c r="AE71" s="41">
        <f t="shared" si="41"/>
        <v>1</v>
      </c>
      <c r="AF71" s="41">
        <f t="shared" si="42"/>
        <v>0</v>
      </c>
      <c r="AG71" s="41">
        <v>1</v>
      </c>
      <c r="AH71" s="41">
        <v>0</v>
      </c>
      <c r="AI71" s="41">
        <f t="shared" si="43"/>
        <v>-100</v>
      </c>
      <c r="AJ71" s="20"/>
      <c r="AK71" s="41">
        <v>40</v>
      </c>
      <c r="AL71" s="50">
        <v>0</v>
      </c>
      <c r="AM71" s="50">
        <v>0</v>
      </c>
      <c r="AN71" s="50">
        <v>0</v>
      </c>
      <c r="AO71" s="48">
        <f>MAX(0, ($AK71-19)/(35-19))</f>
        <v>1.3125</v>
      </c>
      <c r="AP71" s="48">
        <f>MAX(0, ($AK71-19)/(35-19))</f>
        <v>1.3125</v>
      </c>
      <c r="AQ71" s="48" cm="1">
        <f t="array" ref="AQ71">MIN(INDEX(Use,AQ$10,5) + MAX(0, (1-INDEX(Use,AQ$10,5))*($AK71-5)/(35-5)), 1)</f>
        <v>1</v>
      </c>
      <c r="AR71" s="48" cm="1">
        <f t="array" ref="AR71">MIN(INDEX(Use,AR$10,5) + MAX(0, (1-INDEX(Use,AR$10,5))*($AK71-5)/(35-5)), 1)</f>
        <v>1</v>
      </c>
      <c r="AS71" s="48" cm="1">
        <f t="array" ref="AS71">MIN(INDEX(Use,AS$10,5) + MAX(0, (1-INDEX(Use,AS$10,5))*($AK71-5)/(35-5)), 1)</f>
        <v>1</v>
      </c>
      <c r="AT71" s="48" cm="1">
        <f t="array" ref="AT71">MIN(INDEX(Use,AT$10,5) + MAX(0, (1-INDEX(Use,AT$10,5))*($AK71-5)/(35-5)), 1)</f>
        <v>1</v>
      </c>
      <c r="AU71" s="48" cm="1">
        <f t="array" ref="AU71">MIN(INDEX(Use,AU$10,5) + MAX(0, (1-INDEX(Use,AU$10,5))*($AK71-5)/(35-5)), 1)</f>
        <v>1</v>
      </c>
      <c r="AV71" s="48" t="s">
        <v>2</v>
      </c>
      <c r="AW71" s="48" t="s">
        <v>2</v>
      </c>
      <c r="AX71" s="15"/>
      <c r="AY71" s="41" cm="1">
        <f t="array" ref="AY71">INDEX(Use, $AD71, 4)</f>
        <v>7</v>
      </c>
      <c r="AZ71" s="41">
        <f t="shared" si="9"/>
        <v>32</v>
      </c>
      <c r="BA71" s="41">
        <f t="shared" si="10"/>
        <v>13</v>
      </c>
      <c r="BB71" s="41">
        <f t="shared" si="11"/>
        <v>0</v>
      </c>
      <c r="BC71" s="57" cm="1">
        <f t="array" ref="BC71">K71/IF($L71&gt;0, INDEX($AO$12:$AU$66, $L71+20, $AD71), 1)</f>
        <v>0</v>
      </c>
      <c r="BD71" s="46">
        <f t="shared" si="12"/>
        <v>0</v>
      </c>
      <c r="BE71" s="41">
        <v>35</v>
      </c>
      <c r="BF71" s="46">
        <f t="shared" si="13"/>
        <v>52.55</v>
      </c>
      <c r="BG71" s="49">
        <f t="shared" si="14"/>
        <v>2.7676728869374316</v>
      </c>
      <c r="BH71" s="49" cm="1">
        <f t="array" ref="BH71">$BC71 * SUMPRODUCT(INDEX($AL$66:$AN$71,,$AE71),INDEX($AO$66:$AU$71,,$AD71), N($AK$66:$AK$71&gt;$AI71)) / BG71 / 1000</f>
        <v>0</v>
      </c>
      <c r="BI71" s="50">
        <f t="shared" si="15"/>
        <v>30</v>
      </c>
      <c r="BJ71" s="46">
        <f t="shared" si="16"/>
        <v>46.033333333333331</v>
      </c>
      <c r="BK71" s="49">
        <f t="shared" si="17"/>
        <v>3.2297395388556791</v>
      </c>
      <c r="BL71" s="49" cm="1">
        <f t="array" ref="BL71">$BC71 * IF($AD71&lt;=2,
SUMPRODUCT(INDEX($AL$61:$AN$65,,$AE71), INDEX($AO$61:$AU$65,,$AD71), 1 / ($AV$61:$AV$65*BK71 + (1-$AV$61:$AV$65)*BG71), N($AK$61:$AK$65&gt;$AI71)),
SUMPRODUCT(INDEX($AL$56:$AN$65,,$AE71), INDEX($AO$56:$AU$65,,$AD71), 1 / ($AW$56:$AW$65*BK71 + (1-$AW$56:$AW$65)*BG71), N($AK$56:$AK$65&gt;$AI71))
) / 1000</f>
        <v>0</v>
      </c>
      <c r="BM71" s="50">
        <f t="shared" si="18"/>
        <v>25</v>
      </c>
      <c r="BN71" s="46">
        <f t="shared" si="19"/>
        <v>39.516666666666666</v>
      </c>
      <c r="BO71" s="49">
        <f t="shared" si="20"/>
        <v>3.877011788826243</v>
      </c>
      <c r="BP71" s="49" cm="1">
        <f t="array" ref="BP71">$BC71 * IF($AD71&lt;=2,
SUMPRODUCT(INDEX($AL$56:$AN$60,,$AE71), INDEX($AO$56:$AU$60,,$AD71), 1 / ($AV$56:$AV$60*BO71 + (1-$AV$56:$AV$60)*BK71), N($AK$56:$AK$60&gt;$AI71)),
SUMPRODUCT(INDEX($AL$46:$AN$55,,$AE71), INDEX($AO$46:$AU$55,,$AD71), 1 / ($AW$46:$AW$55*BO71 + (1-$AW$46:$AW$55)*BK71), N($AK$46:$AK$55&gt;$AI71))
) / 1000</f>
        <v>0</v>
      </c>
      <c r="BQ71" s="50">
        <f t="shared" si="21"/>
        <v>20</v>
      </c>
      <c r="BR71" s="46">
        <f t="shared" si="22"/>
        <v>33</v>
      </c>
      <c r="BS71" s="49">
        <f t="shared" si="23"/>
        <v>4.8487499999999999</v>
      </c>
      <c r="BT71" s="49" cm="1">
        <f t="array" ref="BT71">$BC71 * IF($AD71&lt;=2,
SUMPRODUCT(INDEX($AL$51:$AN$55,,$AE71), INDEX($AO$51:$AU$55,,$AD71), 1 / ($AV$51:$AV$55*BS71 + (1-$AV$51:$AV$55)*BO71), N($AK$51:$AK$55&gt;$AI71)),
SUMPRODUCT(INDEX($AL$36:$AN$45,,$AE71), INDEX($AO$36:$AU$45,,$AD71), 1 / ($AW$36:$AW$45*BS71 + (1-$AW$36:$AW$45)*BO71), N($AK$36:$AK$45&gt;$AI71))
) / 1000</f>
        <v>0</v>
      </c>
      <c r="BU71" s="49" cm="1">
        <f t="array" ref="BU71">$BC71 * IF($AD71&lt;=2,
SUMPRODUCT(INDEX($AL$12:$AN$50,,$AE71), INDEX($AO$12:$AU$50,,$AD71), 1 / ($AV$12:$AV$50*BS71), N($AK$12:$AK$50&gt;$AI71)),
SUMPRODUCT(INDEX($AL$12:$AN$35,,$AE71), INDEX($AO$12:$AU$35,,$AD71), 1 / ($AW$12:$AW$35*BS71), N($AK$12:$AK$35&gt;$AI71))
) / 1000</f>
        <v>0</v>
      </c>
      <c r="BV71" s="46">
        <f t="shared" si="24"/>
        <v>0</v>
      </c>
      <c r="BW71" s="20"/>
      <c r="BX71" s="46">
        <f t="shared" si="25"/>
        <v>0</v>
      </c>
      <c r="BY71" s="41">
        <v>35</v>
      </c>
      <c r="BZ71" s="46">
        <f t="shared" si="26"/>
        <v>48</v>
      </c>
      <c r="CA71" s="49">
        <f t="shared" si="27"/>
        <v>3.0748170731707316</v>
      </c>
      <c r="CB71" s="49" cm="1">
        <f t="array" ref="CB71">$BC71 * SUMPRODUCT(INDEX($AL$66:$AN$71,,$AE71),INDEX($AO$66:$AU$71,,$AD71), N($AK$66:$AK$71&gt;$AI71)) / CA71 / 1000</f>
        <v>0</v>
      </c>
      <c r="CC71" s="50">
        <f t="shared" si="28"/>
        <v>30</v>
      </c>
      <c r="CD71" s="46">
        <f t="shared" si="29"/>
        <v>43</v>
      </c>
      <c r="CE71" s="49">
        <f t="shared" si="30"/>
        <v>3.5018750000000001</v>
      </c>
      <c r="CF71" s="49" cm="1">
        <f t="array" ref="CF71">$BC71 * IF($AD71&lt;=2,
SUMPRODUCT(INDEX($AL$61:$AN$65,,$AE71), INDEX($AO$61:$AU$65,,$AD71), 1 / ($AV$61:$AV$65*CE71 + (1-$AV$61:$AV$65)*CA71), N($AK$61:$AK$65&gt;$AI71)),
SUMPRODUCT(INDEX($AL$56:$AN$65,,$AE71), INDEX($AO$56:$AU$65,,$AD71), 1 / ($AW$56:$AW$65*CE71 + (1-$AW$56:$AW$65)*CA71), N($AK$56:$AK$65&gt;$AI71))
) / 1000</f>
        <v>0</v>
      </c>
      <c r="CG71" s="50">
        <f t="shared" si="31"/>
        <v>25</v>
      </c>
      <c r="CH71" s="46">
        <f t="shared" si="32"/>
        <v>38</v>
      </c>
      <c r="CI71" s="49">
        <f t="shared" si="33"/>
        <v>4.0666935483870965</v>
      </c>
      <c r="CJ71" s="49" cm="1">
        <f t="array" ref="CJ71">$BC71 * IF($AD71&lt;=2,
SUMPRODUCT(INDEX($AL$56:$AN$60,,$AE71), INDEX($AO$56:$AU$60,,$AD71), 1 / ($AV$56:$AV$60*CI71 + (1-$AV$56:$AV$60)*CE71), N($AK$56:$AK$60&gt;$AI71)),
SUMPRODUCT(INDEX($AL$46:$AN$55,,$AE71), INDEX($AO$46:$AU$55,,$AD71), 1 / ($AW$46:$AW$55*CI71 + (1-$AW$46:$AW$55)*CE71), N($AK$46:$AK$55&gt;$AI71))
) / 1000</f>
        <v>0</v>
      </c>
      <c r="CK71" s="50">
        <f t="shared" si="34"/>
        <v>20</v>
      </c>
      <c r="CL71" s="46">
        <f t="shared" si="35"/>
        <v>33</v>
      </c>
      <c r="CM71" s="49">
        <f t="shared" si="36"/>
        <v>4.8487499999999999</v>
      </c>
      <c r="CN71" s="49" cm="1">
        <f t="array" ref="CN71">$BC71 * IF($AD71&lt;=2,
SUMPRODUCT(INDEX($AL$51:$AN$55,,$AE71), INDEX($AO$51:$AU$55,,$AD71), 1 / ($AV$51:$AV$55*CM71 + (1-$AV$51:$AV$55)*CI71), N($AK$51:$AK$55&gt;$AI71)),
SUMPRODUCT(INDEX($AL$36:$AN$45,,$AE71), INDEX($AO$36:$AU$45,,$AD71), 1 / ($AW$36:$AW$45*CM71 + (1-$AW$36:$AW$45)*CI71), N($AK$36:$AK$45&gt;$AI71))
) / 1000</f>
        <v>0</v>
      </c>
      <c r="CO71" s="49" cm="1">
        <f t="array" ref="CO71">$BC71 * IF($AD71&lt;=2,
SUMPRODUCT(INDEX($AL$12:$AN$50,,$AE71), INDEX($AO$12:$AU$50,,$AD71), 1 / ($AV$12:$AV$50*CM71), N($AK$12:$AK$50&gt;$AI71)),
SUMPRODUCT(INDEX($AL$12:$AN$35,,$AE71), INDEX($AO$12:$AU$35,,$AD71), 1 / ($AW$12:$AW$35*CM71), N($AK$12:$AK$35&gt;$AI71))
) / 1000</f>
        <v>0</v>
      </c>
      <c r="CP71" s="46">
        <f t="shared" si="37"/>
        <v>0</v>
      </c>
      <c r="CQ71" s="20"/>
    </row>
    <row r="72" spans="1:95" s="95" customFormat="1" ht="14.25" customHeight="1" x14ac:dyDescent="0.25">
      <c r="A72" s="36" t="b">
        <f t="shared" si="38"/>
        <v>0</v>
      </c>
      <c r="B72" s="94">
        <v>61</v>
      </c>
      <c r="C72" s="7"/>
      <c r="D72" s="7"/>
      <c r="E72" s="33"/>
      <c r="F72" s="8" t="str">
        <f>IF(ISBLANK(E72), "", VLOOKUP(E72, Z!$A$2:$C$4127, 3, FALSE))</f>
        <v/>
      </c>
      <c r="G72" s="44"/>
      <c r="H72" s="44"/>
      <c r="I72" s="107"/>
      <c r="J72" s="108"/>
      <c r="K72" s="34"/>
      <c r="L72" s="59"/>
      <c r="M72" s="58" t="str" cm="1">
        <f t="array" ref="M72">IF($K72&gt;0, INDEX(Clean,1+AG72,$B$1), "")</f>
        <v/>
      </c>
      <c r="N72" s="62"/>
      <c r="O72" s="62"/>
      <c r="P72" s="63"/>
      <c r="Q72" s="52">
        <f t="shared" si="7"/>
        <v>0</v>
      </c>
      <c r="R72" s="58" t="str" cm="1">
        <f t="array" ref="R72">IF($K72&gt;0, INDEX(Clean,1+AH72,$B$1), "")</f>
        <v/>
      </c>
      <c r="S72" s="62"/>
      <c r="T72" s="62"/>
      <c r="U72" s="63"/>
      <c r="V72" s="52">
        <f t="shared" si="8"/>
        <v>0</v>
      </c>
      <c r="W72" s="6"/>
      <c r="X72" s="7"/>
      <c r="Y72" s="33"/>
      <c r="Z72" s="8" t="str">
        <f>IF(ISBLANK(Y72), "", VLOOKUP(Y72, Z!$A$2:$C$4127, 3, FALSE))</f>
        <v/>
      </c>
      <c r="AA72" s="38"/>
      <c r="AB72" s="9">
        <f t="shared" si="39"/>
        <v>0</v>
      </c>
      <c r="AC72" s="20"/>
      <c r="AD72" s="41">
        <f t="shared" si="40"/>
        <v>1</v>
      </c>
      <c r="AE72" s="41">
        <f t="shared" si="41"/>
        <v>1</v>
      </c>
      <c r="AF72" s="41">
        <f t="shared" si="42"/>
        <v>0</v>
      </c>
      <c r="AG72" s="41">
        <v>1</v>
      </c>
      <c r="AH72" s="41">
        <v>0</v>
      </c>
      <c r="AI72" s="41">
        <f t="shared" si="43"/>
        <v>-100</v>
      </c>
      <c r="AJ72" s="20"/>
      <c r="AK72" s="45"/>
      <c r="AL72" s="45"/>
      <c r="AM72" s="45"/>
      <c r="AN72" s="45"/>
      <c r="AO72" s="47"/>
      <c r="AP72" s="47"/>
      <c r="AQ72" s="47"/>
      <c r="AR72" s="47"/>
      <c r="AS72" s="47"/>
      <c r="AT72" s="47"/>
      <c r="AU72" s="47"/>
      <c r="AV72" s="47"/>
      <c r="AW72" s="47"/>
      <c r="AX72" s="15"/>
      <c r="AY72" s="41" cm="1">
        <f t="array" ref="AY72">INDEX(Use, $AD72, 4)</f>
        <v>7</v>
      </c>
      <c r="AZ72" s="41">
        <f t="shared" si="9"/>
        <v>32</v>
      </c>
      <c r="BA72" s="41">
        <f t="shared" si="10"/>
        <v>13</v>
      </c>
      <c r="BB72" s="41">
        <f t="shared" si="11"/>
        <v>0</v>
      </c>
      <c r="BC72" s="57" cm="1">
        <f t="array" ref="BC72">K72/IF($L72&gt;0, INDEX($AO$12:$AU$66, $L72+20, $AD72), 1)</f>
        <v>0</v>
      </c>
      <c r="BD72" s="46">
        <f t="shared" si="12"/>
        <v>0</v>
      </c>
      <c r="BE72" s="41">
        <v>35</v>
      </c>
      <c r="BF72" s="46">
        <f t="shared" si="13"/>
        <v>52.55</v>
      </c>
      <c r="BG72" s="49">
        <f t="shared" si="14"/>
        <v>2.7676728869374316</v>
      </c>
      <c r="BH72" s="49" cm="1">
        <f t="array" ref="BH72">$BC72 * SUMPRODUCT(INDEX($AL$66:$AN$71,,$AE72),INDEX($AO$66:$AU$71,,$AD72), N($AK$66:$AK$71&gt;$AI72)) / BG72 / 1000</f>
        <v>0</v>
      </c>
      <c r="BI72" s="50">
        <f t="shared" si="15"/>
        <v>30</v>
      </c>
      <c r="BJ72" s="46">
        <f t="shared" si="16"/>
        <v>46.033333333333331</v>
      </c>
      <c r="BK72" s="49">
        <f t="shared" si="17"/>
        <v>3.2297395388556791</v>
      </c>
      <c r="BL72" s="49" cm="1">
        <f t="array" ref="BL72">$BC72 * IF($AD72&lt;=2,
SUMPRODUCT(INDEX($AL$61:$AN$65,,$AE72), INDEX($AO$61:$AU$65,,$AD72), 1 / ($AV$61:$AV$65*BK72 + (1-$AV$61:$AV$65)*BG72), N($AK$61:$AK$65&gt;$AI72)),
SUMPRODUCT(INDEX($AL$56:$AN$65,,$AE72), INDEX($AO$56:$AU$65,,$AD72), 1 / ($AW$56:$AW$65*BK72 + (1-$AW$56:$AW$65)*BG72), N($AK$56:$AK$65&gt;$AI72))
) / 1000</f>
        <v>0</v>
      </c>
      <c r="BM72" s="50">
        <f t="shared" si="18"/>
        <v>25</v>
      </c>
      <c r="BN72" s="46">
        <f t="shared" si="19"/>
        <v>39.516666666666666</v>
      </c>
      <c r="BO72" s="49">
        <f t="shared" si="20"/>
        <v>3.877011788826243</v>
      </c>
      <c r="BP72" s="49" cm="1">
        <f t="array" ref="BP72">$BC72 * IF($AD72&lt;=2,
SUMPRODUCT(INDEX($AL$56:$AN$60,,$AE72), INDEX($AO$56:$AU$60,,$AD72), 1 / ($AV$56:$AV$60*BO72 + (1-$AV$56:$AV$60)*BK72), N($AK$56:$AK$60&gt;$AI72)),
SUMPRODUCT(INDEX($AL$46:$AN$55,,$AE72), INDEX($AO$46:$AU$55,,$AD72), 1 / ($AW$46:$AW$55*BO72 + (1-$AW$46:$AW$55)*BK72), N($AK$46:$AK$55&gt;$AI72))
) / 1000</f>
        <v>0</v>
      </c>
      <c r="BQ72" s="50">
        <f t="shared" si="21"/>
        <v>20</v>
      </c>
      <c r="BR72" s="46">
        <f t="shared" si="22"/>
        <v>33</v>
      </c>
      <c r="BS72" s="49">
        <f t="shared" si="23"/>
        <v>4.8487499999999999</v>
      </c>
      <c r="BT72" s="49" cm="1">
        <f t="array" ref="BT72">$BC72 * IF($AD72&lt;=2,
SUMPRODUCT(INDEX($AL$51:$AN$55,,$AE72), INDEX($AO$51:$AU$55,,$AD72), 1 / ($AV$51:$AV$55*BS72 + (1-$AV$51:$AV$55)*BO72), N($AK$51:$AK$55&gt;$AI72)),
SUMPRODUCT(INDEX($AL$36:$AN$45,,$AE72), INDEX($AO$36:$AU$45,,$AD72), 1 / ($AW$36:$AW$45*BS72 + (1-$AW$36:$AW$45)*BO72), N($AK$36:$AK$45&gt;$AI72))
) / 1000</f>
        <v>0</v>
      </c>
      <c r="BU72" s="49" cm="1">
        <f t="array" ref="BU72">$BC72 * IF($AD72&lt;=2,
SUMPRODUCT(INDEX($AL$12:$AN$50,,$AE72), INDEX($AO$12:$AU$50,,$AD72), 1 / ($AV$12:$AV$50*BS72), N($AK$12:$AK$50&gt;$AI72)),
SUMPRODUCT(INDEX($AL$12:$AN$35,,$AE72), INDEX($AO$12:$AU$35,,$AD72), 1 / ($AW$12:$AW$35*BS72), N($AK$12:$AK$35&gt;$AI72))
) / 1000</f>
        <v>0</v>
      </c>
      <c r="BV72" s="46">
        <f t="shared" si="24"/>
        <v>0</v>
      </c>
      <c r="BW72" s="20"/>
      <c r="BX72" s="46">
        <f t="shared" si="25"/>
        <v>0</v>
      </c>
      <c r="BY72" s="41">
        <v>35</v>
      </c>
      <c r="BZ72" s="46">
        <f t="shared" si="26"/>
        <v>48</v>
      </c>
      <c r="CA72" s="49">
        <f t="shared" si="27"/>
        <v>3.0748170731707316</v>
      </c>
      <c r="CB72" s="49" cm="1">
        <f t="array" ref="CB72">$BC72 * SUMPRODUCT(INDEX($AL$66:$AN$71,,$AE72),INDEX($AO$66:$AU$71,,$AD72), N($AK$66:$AK$71&gt;$AI72)) / CA72 / 1000</f>
        <v>0</v>
      </c>
      <c r="CC72" s="50">
        <f t="shared" si="28"/>
        <v>30</v>
      </c>
      <c r="CD72" s="46">
        <f t="shared" si="29"/>
        <v>43</v>
      </c>
      <c r="CE72" s="49">
        <f t="shared" si="30"/>
        <v>3.5018750000000001</v>
      </c>
      <c r="CF72" s="49" cm="1">
        <f t="array" ref="CF72">$BC72 * IF($AD72&lt;=2,
SUMPRODUCT(INDEX($AL$61:$AN$65,,$AE72), INDEX($AO$61:$AU$65,,$AD72), 1 / ($AV$61:$AV$65*CE72 + (1-$AV$61:$AV$65)*CA72), N($AK$61:$AK$65&gt;$AI72)),
SUMPRODUCT(INDEX($AL$56:$AN$65,,$AE72), INDEX($AO$56:$AU$65,,$AD72), 1 / ($AW$56:$AW$65*CE72 + (1-$AW$56:$AW$65)*CA72), N($AK$56:$AK$65&gt;$AI72))
) / 1000</f>
        <v>0</v>
      </c>
      <c r="CG72" s="50">
        <f t="shared" si="31"/>
        <v>25</v>
      </c>
      <c r="CH72" s="46">
        <f t="shared" si="32"/>
        <v>38</v>
      </c>
      <c r="CI72" s="49">
        <f t="shared" si="33"/>
        <v>4.0666935483870965</v>
      </c>
      <c r="CJ72" s="49" cm="1">
        <f t="array" ref="CJ72">$BC72 * IF($AD72&lt;=2,
SUMPRODUCT(INDEX($AL$56:$AN$60,,$AE72), INDEX($AO$56:$AU$60,,$AD72), 1 / ($AV$56:$AV$60*CI72 + (1-$AV$56:$AV$60)*CE72), N($AK$56:$AK$60&gt;$AI72)),
SUMPRODUCT(INDEX($AL$46:$AN$55,,$AE72), INDEX($AO$46:$AU$55,,$AD72), 1 / ($AW$46:$AW$55*CI72 + (1-$AW$46:$AW$55)*CE72), N($AK$46:$AK$55&gt;$AI72))
) / 1000</f>
        <v>0</v>
      </c>
      <c r="CK72" s="50">
        <f t="shared" si="34"/>
        <v>20</v>
      </c>
      <c r="CL72" s="46">
        <f t="shared" si="35"/>
        <v>33</v>
      </c>
      <c r="CM72" s="49">
        <f t="shared" si="36"/>
        <v>4.8487499999999999</v>
      </c>
      <c r="CN72" s="49" cm="1">
        <f t="array" ref="CN72">$BC72 * IF($AD72&lt;=2,
SUMPRODUCT(INDEX($AL$51:$AN$55,,$AE72), INDEX($AO$51:$AU$55,,$AD72), 1 / ($AV$51:$AV$55*CM72 + (1-$AV$51:$AV$55)*CI72), N($AK$51:$AK$55&gt;$AI72)),
SUMPRODUCT(INDEX($AL$36:$AN$45,,$AE72), INDEX($AO$36:$AU$45,,$AD72), 1 / ($AW$36:$AW$45*CM72 + (1-$AW$36:$AW$45)*CI72), N($AK$36:$AK$45&gt;$AI72))
) / 1000</f>
        <v>0</v>
      </c>
      <c r="CO72" s="49" cm="1">
        <f t="array" ref="CO72">$BC72 * IF($AD72&lt;=2,
SUMPRODUCT(INDEX($AL$12:$AN$50,,$AE72), INDEX($AO$12:$AU$50,,$AD72), 1 / ($AV$12:$AV$50*CM72), N($AK$12:$AK$50&gt;$AI72)),
SUMPRODUCT(INDEX($AL$12:$AN$35,,$AE72), INDEX($AO$12:$AU$35,,$AD72), 1 / ($AW$12:$AW$35*CM72), N($AK$12:$AK$35&gt;$AI72))
) / 1000</f>
        <v>0</v>
      </c>
      <c r="CP72" s="46">
        <f t="shared" si="37"/>
        <v>0</v>
      </c>
      <c r="CQ72" s="20"/>
    </row>
    <row r="73" spans="1:95" s="95" customFormat="1" ht="14.25" customHeight="1" x14ac:dyDescent="0.25">
      <c r="A73" s="36" t="b">
        <f t="shared" si="38"/>
        <v>0</v>
      </c>
      <c r="B73" s="94">
        <v>62</v>
      </c>
      <c r="C73" s="7"/>
      <c r="D73" s="7"/>
      <c r="E73" s="33"/>
      <c r="F73" s="8" t="str">
        <f>IF(ISBLANK(E73), "", VLOOKUP(E73, Z!$A$2:$C$4127, 3, FALSE))</f>
        <v/>
      </c>
      <c r="G73" s="44"/>
      <c r="H73" s="44"/>
      <c r="I73" s="107"/>
      <c r="J73" s="108"/>
      <c r="K73" s="34"/>
      <c r="L73" s="59"/>
      <c r="M73" s="58" t="str" cm="1">
        <f t="array" ref="M73">IF($K73&gt;0, INDEX(Clean,1+AG73,$B$1), "")</f>
        <v/>
      </c>
      <c r="N73" s="62"/>
      <c r="O73" s="62"/>
      <c r="P73" s="63"/>
      <c r="Q73" s="52">
        <f t="shared" si="7"/>
        <v>0</v>
      </c>
      <c r="R73" s="58" t="str" cm="1">
        <f t="array" ref="R73">IF($K73&gt;0, INDEX(Clean,1+AH73,$B$1), "")</f>
        <v/>
      </c>
      <c r="S73" s="62"/>
      <c r="T73" s="62"/>
      <c r="U73" s="63"/>
      <c r="V73" s="52">
        <f t="shared" si="8"/>
        <v>0</v>
      </c>
      <c r="W73" s="6"/>
      <c r="X73" s="7"/>
      <c r="Y73" s="33"/>
      <c r="Z73" s="8" t="str">
        <f>IF(ISBLANK(Y73), "", VLOOKUP(Y73, Z!$A$2:$C$4127, 3, FALSE))</f>
        <v/>
      </c>
      <c r="AA73" s="38"/>
      <c r="AB73" s="9">
        <f t="shared" si="39"/>
        <v>0</v>
      </c>
      <c r="AC73" s="20"/>
      <c r="AD73" s="41">
        <f t="shared" si="40"/>
        <v>1</v>
      </c>
      <c r="AE73" s="41">
        <f t="shared" si="41"/>
        <v>1</v>
      </c>
      <c r="AF73" s="41">
        <f t="shared" si="42"/>
        <v>0</v>
      </c>
      <c r="AG73" s="41">
        <v>1</v>
      </c>
      <c r="AH73" s="41">
        <v>0</v>
      </c>
      <c r="AI73" s="41">
        <f t="shared" si="43"/>
        <v>-100</v>
      </c>
      <c r="AJ73" s="20"/>
      <c r="AK73" s="45"/>
      <c r="AL73" s="45"/>
      <c r="AM73" s="45"/>
      <c r="AN73" s="45"/>
      <c r="AO73" s="47"/>
      <c r="AP73" s="47"/>
      <c r="AQ73" s="47"/>
      <c r="AR73" s="47"/>
      <c r="AS73" s="47"/>
      <c r="AT73" s="47"/>
      <c r="AU73" s="47"/>
      <c r="AV73" s="47"/>
      <c r="AW73" s="47"/>
      <c r="AX73" s="15"/>
      <c r="AY73" s="41" cm="1">
        <f t="array" ref="AY73">INDEX(Use, $AD73, 4)</f>
        <v>7</v>
      </c>
      <c r="AZ73" s="41">
        <f t="shared" si="9"/>
        <v>32</v>
      </c>
      <c r="BA73" s="41">
        <f t="shared" si="10"/>
        <v>13</v>
      </c>
      <c r="BB73" s="41">
        <f t="shared" si="11"/>
        <v>0</v>
      </c>
      <c r="BC73" s="57" cm="1">
        <f t="array" ref="BC73">K73/IF($L73&gt;0, INDEX($AO$12:$AU$66, $L73+20, $AD73), 1)</f>
        <v>0</v>
      </c>
      <c r="BD73" s="46">
        <f t="shared" si="12"/>
        <v>0</v>
      </c>
      <c r="BE73" s="41">
        <v>35</v>
      </c>
      <c r="BF73" s="46">
        <f t="shared" si="13"/>
        <v>52.55</v>
      </c>
      <c r="BG73" s="49">
        <f t="shared" si="14"/>
        <v>2.7676728869374316</v>
      </c>
      <c r="BH73" s="49" cm="1">
        <f t="array" ref="BH73">$BC73 * SUMPRODUCT(INDEX($AL$66:$AN$71,,$AE73),INDEX($AO$66:$AU$71,,$AD73), N($AK$66:$AK$71&gt;$AI73)) / BG73 / 1000</f>
        <v>0</v>
      </c>
      <c r="BI73" s="50">
        <f t="shared" si="15"/>
        <v>30</v>
      </c>
      <c r="BJ73" s="46">
        <f t="shared" si="16"/>
        <v>46.033333333333331</v>
      </c>
      <c r="BK73" s="49">
        <f t="shared" si="17"/>
        <v>3.2297395388556791</v>
      </c>
      <c r="BL73" s="49" cm="1">
        <f t="array" ref="BL73">$BC73 * IF($AD73&lt;=2,
SUMPRODUCT(INDEX($AL$61:$AN$65,,$AE73), INDEX($AO$61:$AU$65,,$AD73), 1 / ($AV$61:$AV$65*BK73 + (1-$AV$61:$AV$65)*BG73), N($AK$61:$AK$65&gt;$AI73)),
SUMPRODUCT(INDEX($AL$56:$AN$65,,$AE73), INDEX($AO$56:$AU$65,,$AD73), 1 / ($AW$56:$AW$65*BK73 + (1-$AW$56:$AW$65)*BG73), N($AK$56:$AK$65&gt;$AI73))
) / 1000</f>
        <v>0</v>
      </c>
      <c r="BM73" s="50">
        <f t="shared" si="18"/>
        <v>25</v>
      </c>
      <c r="BN73" s="46">
        <f t="shared" si="19"/>
        <v>39.516666666666666</v>
      </c>
      <c r="BO73" s="49">
        <f t="shared" si="20"/>
        <v>3.877011788826243</v>
      </c>
      <c r="BP73" s="49" cm="1">
        <f t="array" ref="BP73">$BC73 * IF($AD73&lt;=2,
SUMPRODUCT(INDEX($AL$56:$AN$60,,$AE73), INDEX($AO$56:$AU$60,,$AD73), 1 / ($AV$56:$AV$60*BO73 + (1-$AV$56:$AV$60)*BK73), N($AK$56:$AK$60&gt;$AI73)),
SUMPRODUCT(INDEX($AL$46:$AN$55,,$AE73), INDEX($AO$46:$AU$55,,$AD73), 1 / ($AW$46:$AW$55*BO73 + (1-$AW$46:$AW$55)*BK73), N($AK$46:$AK$55&gt;$AI73))
) / 1000</f>
        <v>0</v>
      </c>
      <c r="BQ73" s="50">
        <f t="shared" si="21"/>
        <v>20</v>
      </c>
      <c r="BR73" s="46">
        <f t="shared" si="22"/>
        <v>33</v>
      </c>
      <c r="BS73" s="49">
        <f t="shared" si="23"/>
        <v>4.8487499999999999</v>
      </c>
      <c r="BT73" s="49" cm="1">
        <f t="array" ref="BT73">$BC73 * IF($AD73&lt;=2,
SUMPRODUCT(INDEX($AL$51:$AN$55,,$AE73), INDEX($AO$51:$AU$55,,$AD73), 1 / ($AV$51:$AV$55*BS73 + (1-$AV$51:$AV$55)*BO73), N($AK$51:$AK$55&gt;$AI73)),
SUMPRODUCT(INDEX($AL$36:$AN$45,,$AE73), INDEX($AO$36:$AU$45,,$AD73), 1 / ($AW$36:$AW$45*BS73 + (1-$AW$36:$AW$45)*BO73), N($AK$36:$AK$45&gt;$AI73))
) / 1000</f>
        <v>0</v>
      </c>
      <c r="BU73" s="49" cm="1">
        <f t="array" ref="BU73">$BC73 * IF($AD73&lt;=2,
SUMPRODUCT(INDEX($AL$12:$AN$50,,$AE73), INDEX($AO$12:$AU$50,,$AD73), 1 / ($AV$12:$AV$50*BS73), N($AK$12:$AK$50&gt;$AI73)),
SUMPRODUCT(INDEX($AL$12:$AN$35,,$AE73), INDEX($AO$12:$AU$35,,$AD73), 1 / ($AW$12:$AW$35*BS73), N($AK$12:$AK$35&gt;$AI73))
) / 1000</f>
        <v>0</v>
      </c>
      <c r="BV73" s="46">
        <f t="shared" si="24"/>
        <v>0</v>
      </c>
      <c r="BW73" s="20"/>
      <c r="BX73" s="46">
        <f t="shared" si="25"/>
        <v>0</v>
      </c>
      <c r="BY73" s="41">
        <v>35</v>
      </c>
      <c r="BZ73" s="46">
        <f t="shared" si="26"/>
        <v>48</v>
      </c>
      <c r="CA73" s="49">
        <f t="shared" si="27"/>
        <v>3.0748170731707316</v>
      </c>
      <c r="CB73" s="49" cm="1">
        <f t="array" ref="CB73">$BC73 * SUMPRODUCT(INDEX($AL$66:$AN$71,,$AE73),INDEX($AO$66:$AU$71,,$AD73), N($AK$66:$AK$71&gt;$AI73)) / CA73 / 1000</f>
        <v>0</v>
      </c>
      <c r="CC73" s="50">
        <f t="shared" si="28"/>
        <v>30</v>
      </c>
      <c r="CD73" s="46">
        <f t="shared" si="29"/>
        <v>43</v>
      </c>
      <c r="CE73" s="49">
        <f t="shared" si="30"/>
        <v>3.5018750000000001</v>
      </c>
      <c r="CF73" s="49" cm="1">
        <f t="array" ref="CF73">$BC73 * IF($AD73&lt;=2,
SUMPRODUCT(INDEX($AL$61:$AN$65,,$AE73), INDEX($AO$61:$AU$65,,$AD73), 1 / ($AV$61:$AV$65*CE73 + (1-$AV$61:$AV$65)*CA73), N($AK$61:$AK$65&gt;$AI73)),
SUMPRODUCT(INDEX($AL$56:$AN$65,,$AE73), INDEX($AO$56:$AU$65,,$AD73), 1 / ($AW$56:$AW$65*CE73 + (1-$AW$56:$AW$65)*CA73), N($AK$56:$AK$65&gt;$AI73))
) / 1000</f>
        <v>0</v>
      </c>
      <c r="CG73" s="50">
        <f t="shared" si="31"/>
        <v>25</v>
      </c>
      <c r="CH73" s="46">
        <f t="shared" si="32"/>
        <v>38</v>
      </c>
      <c r="CI73" s="49">
        <f t="shared" si="33"/>
        <v>4.0666935483870965</v>
      </c>
      <c r="CJ73" s="49" cm="1">
        <f t="array" ref="CJ73">$BC73 * IF($AD73&lt;=2,
SUMPRODUCT(INDEX($AL$56:$AN$60,,$AE73), INDEX($AO$56:$AU$60,,$AD73), 1 / ($AV$56:$AV$60*CI73 + (1-$AV$56:$AV$60)*CE73), N($AK$56:$AK$60&gt;$AI73)),
SUMPRODUCT(INDEX($AL$46:$AN$55,,$AE73), INDEX($AO$46:$AU$55,,$AD73), 1 / ($AW$46:$AW$55*CI73 + (1-$AW$46:$AW$55)*CE73), N($AK$46:$AK$55&gt;$AI73))
) / 1000</f>
        <v>0</v>
      </c>
      <c r="CK73" s="50">
        <f t="shared" si="34"/>
        <v>20</v>
      </c>
      <c r="CL73" s="46">
        <f t="shared" si="35"/>
        <v>33</v>
      </c>
      <c r="CM73" s="49">
        <f t="shared" si="36"/>
        <v>4.8487499999999999</v>
      </c>
      <c r="CN73" s="49" cm="1">
        <f t="array" ref="CN73">$BC73 * IF($AD73&lt;=2,
SUMPRODUCT(INDEX($AL$51:$AN$55,,$AE73), INDEX($AO$51:$AU$55,,$AD73), 1 / ($AV$51:$AV$55*CM73 + (1-$AV$51:$AV$55)*CI73), N($AK$51:$AK$55&gt;$AI73)),
SUMPRODUCT(INDEX($AL$36:$AN$45,,$AE73), INDEX($AO$36:$AU$45,,$AD73), 1 / ($AW$36:$AW$45*CM73 + (1-$AW$36:$AW$45)*CI73), N($AK$36:$AK$45&gt;$AI73))
) / 1000</f>
        <v>0</v>
      </c>
      <c r="CO73" s="49" cm="1">
        <f t="array" ref="CO73">$BC73 * IF($AD73&lt;=2,
SUMPRODUCT(INDEX($AL$12:$AN$50,,$AE73), INDEX($AO$12:$AU$50,,$AD73), 1 / ($AV$12:$AV$50*CM73), N($AK$12:$AK$50&gt;$AI73)),
SUMPRODUCT(INDEX($AL$12:$AN$35,,$AE73), INDEX($AO$12:$AU$35,,$AD73), 1 / ($AW$12:$AW$35*CM73), N($AK$12:$AK$35&gt;$AI73))
) / 1000</f>
        <v>0</v>
      </c>
      <c r="CP73" s="46">
        <f t="shared" si="37"/>
        <v>0</v>
      </c>
      <c r="CQ73" s="20"/>
    </row>
    <row r="74" spans="1:95" s="95" customFormat="1" ht="14.25" customHeight="1" x14ac:dyDescent="0.25">
      <c r="A74" s="36" t="b">
        <f t="shared" si="38"/>
        <v>0</v>
      </c>
      <c r="B74" s="94">
        <v>63</v>
      </c>
      <c r="C74" s="7"/>
      <c r="D74" s="7"/>
      <c r="E74" s="33"/>
      <c r="F74" s="8" t="str">
        <f>IF(ISBLANK(E74), "", VLOOKUP(E74, Z!$A$2:$C$4127, 3, FALSE))</f>
        <v/>
      </c>
      <c r="G74" s="44"/>
      <c r="H74" s="44"/>
      <c r="I74" s="107"/>
      <c r="J74" s="108"/>
      <c r="K74" s="34"/>
      <c r="L74" s="59"/>
      <c r="M74" s="58" t="str" cm="1">
        <f t="array" ref="M74">IF($K74&gt;0, INDEX(Clean,1+AG74,$B$1), "")</f>
        <v/>
      </c>
      <c r="N74" s="62"/>
      <c r="O74" s="62"/>
      <c r="P74" s="63"/>
      <c r="Q74" s="52">
        <f t="shared" si="7"/>
        <v>0</v>
      </c>
      <c r="R74" s="58" t="str" cm="1">
        <f t="array" ref="R74">IF($K74&gt;0, INDEX(Clean,1+AH74,$B$1), "")</f>
        <v/>
      </c>
      <c r="S74" s="62"/>
      <c r="T74" s="62"/>
      <c r="U74" s="63"/>
      <c r="V74" s="52">
        <f t="shared" si="8"/>
        <v>0</v>
      </c>
      <c r="W74" s="6"/>
      <c r="X74" s="7"/>
      <c r="Y74" s="33"/>
      <c r="Z74" s="8" t="str">
        <f>IF(ISBLANK(Y74), "", VLOOKUP(Y74, Z!$A$2:$C$4127, 3, FALSE))</f>
        <v/>
      </c>
      <c r="AA74" s="38"/>
      <c r="AB74" s="9">
        <f t="shared" si="39"/>
        <v>0</v>
      </c>
      <c r="AC74" s="20"/>
      <c r="AD74" s="41">
        <f t="shared" si="40"/>
        <v>1</v>
      </c>
      <c r="AE74" s="41">
        <f t="shared" si="41"/>
        <v>1</v>
      </c>
      <c r="AF74" s="41">
        <f t="shared" si="42"/>
        <v>0</v>
      </c>
      <c r="AG74" s="41">
        <v>1</v>
      </c>
      <c r="AH74" s="41">
        <v>0</v>
      </c>
      <c r="AI74" s="41">
        <f t="shared" si="43"/>
        <v>-100</v>
      </c>
      <c r="AJ74" s="20"/>
      <c r="AK74" s="45"/>
      <c r="AL74" s="45"/>
      <c r="AM74" s="45"/>
      <c r="AN74" s="45"/>
      <c r="AO74" s="47"/>
      <c r="AP74" s="47"/>
      <c r="AQ74" s="47"/>
      <c r="AR74" s="47"/>
      <c r="AS74" s="47"/>
      <c r="AT74" s="47"/>
      <c r="AU74" s="47"/>
      <c r="AV74" s="47"/>
      <c r="AW74" s="47"/>
      <c r="AX74" s="15"/>
      <c r="AY74" s="41" cm="1">
        <f t="array" ref="AY74">INDEX(Use, $AD74, 4)</f>
        <v>7</v>
      </c>
      <c r="AZ74" s="41">
        <f t="shared" si="9"/>
        <v>32</v>
      </c>
      <c r="BA74" s="41">
        <f t="shared" si="10"/>
        <v>13</v>
      </c>
      <c r="BB74" s="41">
        <f t="shared" si="11"/>
        <v>0</v>
      </c>
      <c r="BC74" s="57" cm="1">
        <f t="array" ref="BC74">K74/IF($L74&gt;0, INDEX($AO$12:$AU$66, $L74+20, $AD74), 1)</f>
        <v>0</v>
      </c>
      <c r="BD74" s="46">
        <f t="shared" si="12"/>
        <v>0</v>
      </c>
      <c r="BE74" s="41">
        <v>35</v>
      </c>
      <c r="BF74" s="46">
        <f t="shared" si="13"/>
        <v>52.55</v>
      </c>
      <c r="BG74" s="49">
        <f t="shared" si="14"/>
        <v>2.7676728869374316</v>
      </c>
      <c r="BH74" s="49" cm="1">
        <f t="array" ref="BH74">$BC74 * SUMPRODUCT(INDEX($AL$66:$AN$71,,$AE74),INDEX($AO$66:$AU$71,,$AD74), N($AK$66:$AK$71&gt;$AI74)) / BG74 / 1000</f>
        <v>0</v>
      </c>
      <c r="BI74" s="50">
        <f t="shared" si="15"/>
        <v>30</v>
      </c>
      <c r="BJ74" s="46">
        <f t="shared" si="16"/>
        <v>46.033333333333331</v>
      </c>
      <c r="BK74" s="49">
        <f t="shared" si="17"/>
        <v>3.2297395388556791</v>
      </c>
      <c r="BL74" s="49" cm="1">
        <f t="array" ref="BL74">$BC74 * IF($AD74&lt;=2,
SUMPRODUCT(INDEX($AL$61:$AN$65,,$AE74), INDEX($AO$61:$AU$65,,$AD74), 1 / ($AV$61:$AV$65*BK74 + (1-$AV$61:$AV$65)*BG74), N($AK$61:$AK$65&gt;$AI74)),
SUMPRODUCT(INDEX($AL$56:$AN$65,,$AE74), INDEX($AO$56:$AU$65,,$AD74), 1 / ($AW$56:$AW$65*BK74 + (1-$AW$56:$AW$65)*BG74), N($AK$56:$AK$65&gt;$AI74))
) / 1000</f>
        <v>0</v>
      </c>
      <c r="BM74" s="50">
        <f t="shared" si="18"/>
        <v>25</v>
      </c>
      <c r="BN74" s="46">
        <f t="shared" si="19"/>
        <v>39.516666666666666</v>
      </c>
      <c r="BO74" s="49">
        <f t="shared" si="20"/>
        <v>3.877011788826243</v>
      </c>
      <c r="BP74" s="49" cm="1">
        <f t="array" ref="BP74">$BC74 * IF($AD74&lt;=2,
SUMPRODUCT(INDEX($AL$56:$AN$60,,$AE74), INDEX($AO$56:$AU$60,,$AD74), 1 / ($AV$56:$AV$60*BO74 + (1-$AV$56:$AV$60)*BK74), N($AK$56:$AK$60&gt;$AI74)),
SUMPRODUCT(INDEX($AL$46:$AN$55,,$AE74), INDEX($AO$46:$AU$55,,$AD74), 1 / ($AW$46:$AW$55*BO74 + (1-$AW$46:$AW$55)*BK74), N($AK$46:$AK$55&gt;$AI74))
) / 1000</f>
        <v>0</v>
      </c>
      <c r="BQ74" s="50">
        <f t="shared" si="21"/>
        <v>20</v>
      </c>
      <c r="BR74" s="46">
        <f t="shared" si="22"/>
        <v>33</v>
      </c>
      <c r="BS74" s="49">
        <f t="shared" si="23"/>
        <v>4.8487499999999999</v>
      </c>
      <c r="BT74" s="49" cm="1">
        <f t="array" ref="BT74">$BC74 * IF($AD74&lt;=2,
SUMPRODUCT(INDEX($AL$51:$AN$55,,$AE74), INDEX($AO$51:$AU$55,,$AD74), 1 / ($AV$51:$AV$55*BS74 + (1-$AV$51:$AV$55)*BO74), N($AK$51:$AK$55&gt;$AI74)),
SUMPRODUCT(INDEX($AL$36:$AN$45,,$AE74), INDEX($AO$36:$AU$45,,$AD74), 1 / ($AW$36:$AW$45*BS74 + (1-$AW$36:$AW$45)*BO74), N($AK$36:$AK$45&gt;$AI74))
) / 1000</f>
        <v>0</v>
      </c>
      <c r="BU74" s="49" cm="1">
        <f t="array" ref="BU74">$BC74 * IF($AD74&lt;=2,
SUMPRODUCT(INDEX($AL$12:$AN$50,,$AE74), INDEX($AO$12:$AU$50,,$AD74), 1 / ($AV$12:$AV$50*BS74), N($AK$12:$AK$50&gt;$AI74)),
SUMPRODUCT(INDEX($AL$12:$AN$35,,$AE74), INDEX($AO$12:$AU$35,,$AD74), 1 / ($AW$12:$AW$35*BS74), N($AK$12:$AK$35&gt;$AI74))
) / 1000</f>
        <v>0</v>
      </c>
      <c r="BV74" s="46">
        <f t="shared" si="24"/>
        <v>0</v>
      </c>
      <c r="BW74" s="20"/>
      <c r="BX74" s="46">
        <f t="shared" si="25"/>
        <v>0</v>
      </c>
      <c r="BY74" s="41">
        <v>35</v>
      </c>
      <c r="BZ74" s="46">
        <f t="shared" si="26"/>
        <v>48</v>
      </c>
      <c r="CA74" s="49">
        <f t="shared" si="27"/>
        <v>3.0748170731707316</v>
      </c>
      <c r="CB74" s="49" cm="1">
        <f t="array" ref="CB74">$BC74 * SUMPRODUCT(INDEX($AL$66:$AN$71,,$AE74),INDEX($AO$66:$AU$71,,$AD74), N($AK$66:$AK$71&gt;$AI74)) / CA74 / 1000</f>
        <v>0</v>
      </c>
      <c r="CC74" s="50">
        <f t="shared" si="28"/>
        <v>30</v>
      </c>
      <c r="CD74" s="46">
        <f t="shared" si="29"/>
        <v>43</v>
      </c>
      <c r="CE74" s="49">
        <f t="shared" si="30"/>
        <v>3.5018750000000001</v>
      </c>
      <c r="CF74" s="49" cm="1">
        <f t="array" ref="CF74">$BC74 * IF($AD74&lt;=2,
SUMPRODUCT(INDEX($AL$61:$AN$65,,$AE74), INDEX($AO$61:$AU$65,,$AD74), 1 / ($AV$61:$AV$65*CE74 + (1-$AV$61:$AV$65)*CA74), N($AK$61:$AK$65&gt;$AI74)),
SUMPRODUCT(INDEX($AL$56:$AN$65,,$AE74), INDEX($AO$56:$AU$65,,$AD74), 1 / ($AW$56:$AW$65*CE74 + (1-$AW$56:$AW$65)*CA74), N($AK$56:$AK$65&gt;$AI74))
) / 1000</f>
        <v>0</v>
      </c>
      <c r="CG74" s="50">
        <f t="shared" si="31"/>
        <v>25</v>
      </c>
      <c r="CH74" s="46">
        <f t="shared" si="32"/>
        <v>38</v>
      </c>
      <c r="CI74" s="49">
        <f t="shared" si="33"/>
        <v>4.0666935483870965</v>
      </c>
      <c r="CJ74" s="49" cm="1">
        <f t="array" ref="CJ74">$BC74 * IF($AD74&lt;=2,
SUMPRODUCT(INDEX($AL$56:$AN$60,,$AE74), INDEX($AO$56:$AU$60,,$AD74), 1 / ($AV$56:$AV$60*CI74 + (1-$AV$56:$AV$60)*CE74), N($AK$56:$AK$60&gt;$AI74)),
SUMPRODUCT(INDEX($AL$46:$AN$55,,$AE74), INDEX($AO$46:$AU$55,,$AD74), 1 / ($AW$46:$AW$55*CI74 + (1-$AW$46:$AW$55)*CE74), N($AK$46:$AK$55&gt;$AI74))
) / 1000</f>
        <v>0</v>
      </c>
      <c r="CK74" s="50">
        <f t="shared" si="34"/>
        <v>20</v>
      </c>
      <c r="CL74" s="46">
        <f t="shared" si="35"/>
        <v>33</v>
      </c>
      <c r="CM74" s="49">
        <f t="shared" si="36"/>
        <v>4.8487499999999999</v>
      </c>
      <c r="CN74" s="49" cm="1">
        <f t="array" ref="CN74">$BC74 * IF($AD74&lt;=2,
SUMPRODUCT(INDEX($AL$51:$AN$55,,$AE74), INDEX($AO$51:$AU$55,,$AD74), 1 / ($AV$51:$AV$55*CM74 + (1-$AV$51:$AV$55)*CI74), N($AK$51:$AK$55&gt;$AI74)),
SUMPRODUCT(INDEX($AL$36:$AN$45,,$AE74), INDEX($AO$36:$AU$45,,$AD74), 1 / ($AW$36:$AW$45*CM74 + (1-$AW$36:$AW$45)*CI74), N($AK$36:$AK$45&gt;$AI74))
) / 1000</f>
        <v>0</v>
      </c>
      <c r="CO74" s="49" cm="1">
        <f t="array" ref="CO74">$BC74 * IF($AD74&lt;=2,
SUMPRODUCT(INDEX($AL$12:$AN$50,,$AE74), INDEX($AO$12:$AU$50,,$AD74), 1 / ($AV$12:$AV$50*CM74), N($AK$12:$AK$50&gt;$AI74)),
SUMPRODUCT(INDEX($AL$12:$AN$35,,$AE74), INDEX($AO$12:$AU$35,,$AD74), 1 / ($AW$12:$AW$35*CM74), N($AK$12:$AK$35&gt;$AI74))
) / 1000</f>
        <v>0</v>
      </c>
      <c r="CP74" s="46">
        <f t="shared" si="37"/>
        <v>0</v>
      </c>
      <c r="CQ74" s="20"/>
    </row>
    <row r="75" spans="1:95" s="95" customFormat="1" ht="14.25" customHeight="1" x14ac:dyDescent="0.25">
      <c r="A75" s="36" t="b">
        <f t="shared" si="38"/>
        <v>0</v>
      </c>
      <c r="B75" s="94">
        <v>64</v>
      </c>
      <c r="C75" s="7"/>
      <c r="D75" s="7"/>
      <c r="E75" s="33"/>
      <c r="F75" s="8" t="str">
        <f>IF(ISBLANK(E75), "", VLOOKUP(E75, Z!$A$2:$C$4127, 3, FALSE))</f>
        <v/>
      </c>
      <c r="G75" s="44"/>
      <c r="H75" s="44"/>
      <c r="I75" s="107"/>
      <c r="J75" s="108"/>
      <c r="K75" s="34"/>
      <c r="L75" s="59"/>
      <c r="M75" s="58" t="str" cm="1">
        <f t="array" ref="M75">IF($K75&gt;0, INDEX(Clean,1+AG75,$B$1), "")</f>
        <v/>
      </c>
      <c r="N75" s="62"/>
      <c r="O75" s="62"/>
      <c r="P75" s="63"/>
      <c r="Q75" s="52">
        <f t="shared" si="7"/>
        <v>0</v>
      </c>
      <c r="R75" s="58" t="str" cm="1">
        <f t="array" ref="R75">IF($K75&gt;0, INDEX(Clean,1+AH75,$B$1), "")</f>
        <v/>
      </c>
      <c r="S75" s="62"/>
      <c r="T75" s="62"/>
      <c r="U75" s="63"/>
      <c r="V75" s="52">
        <f t="shared" si="8"/>
        <v>0</v>
      </c>
      <c r="W75" s="6"/>
      <c r="X75" s="7"/>
      <c r="Y75" s="33"/>
      <c r="Z75" s="8" t="str">
        <f>IF(ISBLANK(Y75), "", VLOOKUP(Y75, Z!$A$2:$C$4127, 3, FALSE))</f>
        <v/>
      </c>
      <c r="AA75" s="38"/>
      <c r="AB75" s="9">
        <f t="shared" si="39"/>
        <v>0</v>
      </c>
      <c r="AC75" s="20"/>
      <c r="AD75" s="41">
        <f t="shared" si="40"/>
        <v>1</v>
      </c>
      <c r="AE75" s="41">
        <f t="shared" si="41"/>
        <v>1</v>
      </c>
      <c r="AF75" s="41">
        <f t="shared" si="42"/>
        <v>0</v>
      </c>
      <c r="AG75" s="41">
        <v>1</v>
      </c>
      <c r="AH75" s="41">
        <v>0</v>
      </c>
      <c r="AI75" s="41">
        <f t="shared" si="43"/>
        <v>-100</v>
      </c>
      <c r="AJ75" s="20"/>
      <c r="AK75" s="45"/>
      <c r="AL75" s="45"/>
      <c r="AM75" s="45"/>
      <c r="AN75" s="45"/>
      <c r="AO75" s="47"/>
      <c r="AP75" s="47"/>
      <c r="AQ75" s="47"/>
      <c r="AR75" s="47"/>
      <c r="AS75" s="47"/>
      <c r="AT75" s="47"/>
      <c r="AU75" s="47"/>
      <c r="AV75" s="47"/>
      <c r="AW75" s="47"/>
      <c r="AX75" s="15"/>
      <c r="AY75" s="41" cm="1">
        <f t="array" ref="AY75">INDEX(Use, $AD75, 4)</f>
        <v>7</v>
      </c>
      <c r="AZ75" s="41">
        <f t="shared" si="9"/>
        <v>32</v>
      </c>
      <c r="BA75" s="41">
        <f t="shared" si="10"/>
        <v>13</v>
      </c>
      <c r="BB75" s="41">
        <f t="shared" si="11"/>
        <v>0</v>
      </c>
      <c r="BC75" s="57" cm="1">
        <f t="array" ref="BC75">K75/IF($L75&gt;0, INDEX($AO$12:$AU$66, $L75+20, $AD75), 1)</f>
        <v>0</v>
      </c>
      <c r="BD75" s="46">
        <f t="shared" si="12"/>
        <v>0</v>
      </c>
      <c r="BE75" s="41">
        <v>35</v>
      </c>
      <c r="BF75" s="46">
        <f t="shared" si="13"/>
        <v>52.55</v>
      </c>
      <c r="BG75" s="49">
        <f t="shared" si="14"/>
        <v>2.7676728869374316</v>
      </c>
      <c r="BH75" s="49" cm="1">
        <f t="array" ref="BH75">$BC75 * SUMPRODUCT(INDEX($AL$66:$AN$71,,$AE75),INDEX($AO$66:$AU$71,,$AD75), N($AK$66:$AK$71&gt;$AI75)) / BG75 / 1000</f>
        <v>0</v>
      </c>
      <c r="BI75" s="50">
        <f t="shared" si="15"/>
        <v>30</v>
      </c>
      <c r="BJ75" s="46">
        <f t="shared" si="16"/>
        <v>46.033333333333331</v>
      </c>
      <c r="BK75" s="49">
        <f t="shared" si="17"/>
        <v>3.2297395388556791</v>
      </c>
      <c r="BL75" s="49" cm="1">
        <f t="array" ref="BL75">$BC75 * IF($AD75&lt;=2,
SUMPRODUCT(INDEX($AL$61:$AN$65,,$AE75), INDEX($AO$61:$AU$65,,$AD75), 1 / ($AV$61:$AV$65*BK75 + (1-$AV$61:$AV$65)*BG75), N($AK$61:$AK$65&gt;$AI75)),
SUMPRODUCT(INDEX($AL$56:$AN$65,,$AE75), INDEX($AO$56:$AU$65,,$AD75), 1 / ($AW$56:$AW$65*BK75 + (1-$AW$56:$AW$65)*BG75), N($AK$56:$AK$65&gt;$AI75))
) / 1000</f>
        <v>0</v>
      </c>
      <c r="BM75" s="50">
        <f t="shared" si="18"/>
        <v>25</v>
      </c>
      <c r="BN75" s="46">
        <f t="shared" si="19"/>
        <v>39.516666666666666</v>
      </c>
      <c r="BO75" s="49">
        <f t="shared" si="20"/>
        <v>3.877011788826243</v>
      </c>
      <c r="BP75" s="49" cm="1">
        <f t="array" ref="BP75">$BC75 * IF($AD75&lt;=2,
SUMPRODUCT(INDEX($AL$56:$AN$60,,$AE75), INDEX($AO$56:$AU$60,,$AD75), 1 / ($AV$56:$AV$60*BO75 + (1-$AV$56:$AV$60)*BK75), N($AK$56:$AK$60&gt;$AI75)),
SUMPRODUCT(INDEX($AL$46:$AN$55,,$AE75), INDEX($AO$46:$AU$55,,$AD75), 1 / ($AW$46:$AW$55*BO75 + (1-$AW$46:$AW$55)*BK75), N($AK$46:$AK$55&gt;$AI75))
) / 1000</f>
        <v>0</v>
      </c>
      <c r="BQ75" s="50">
        <f t="shared" si="21"/>
        <v>20</v>
      </c>
      <c r="BR75" s="46">
        <f t="shared" si="22"/>
        <v>33</v>
      </c>
      <c r="BS75" s="49">
        <f t="shared" si="23"/>
        <v>4.8487499999999999</v>
      </c>
      <c r="BT75" s="49" cm="1">
        <f t="array" ref="BT75">$BC75 * IF($AD75&lt;=2,
SUMPRODUCT(INDEX($AL$51:$AN$55,,$AE75), INDEX($AO$51:$AU$55,,$AD75), 1 / ($AV$51:$AV$55*BS75 + (1-$AV$51:$AV$55)*BO75), N($AK$51:$AK$55&gt;$AI75)),
SUMPRODUCT(INDEX($AL$36:$AN$45,,$AE75), INDEX($AO$36:$AU$45,,$AD75), 1 / ($AW$36:$AW$45*BS75 + (1-$AW$36:$AW$45)*BO75), N($AK$36:$AK$45&gt;$AI75))
) / 1000</f>
        <v>0</v>
      </c>
      <c r="BU75" s="49" cm="1">
        <f t="array" ref="BU75">$BC75 * IF($AD75&lt;=2,
SUMPRODUCT(INDEX($AL$12:$AN$50,,$AE75), INDEX($AO$12:$AU$50,,$AD75), 1 / ($AV$12:$AV$50*BS75), N($AK$12:$AK$50&gt;$AI75)),
SUMPRODUCT(INDEX($AL$12:$AN$35,,$AE75), INDEX($AO$12:$AU$35,,$AD75), 1 / ($AW$12:$AW$35*BS75), N($AK$12:$AK$35&gt;$AI75))
) / 1000</f>
        <v>0</v>
      </c>
      <c r="BV75" s="46">
        <f t="shared" si="24"/>
        <v>0</v>
      </c>
      <c r="BW75" s="20"/>
      <c r="BX75" s="46">
        <f t="shared" si="25"/>
        <v>0</v>
      </c>
      <c r="BY75" s="41">
        <v>35</v>
      </c>
      <c r="BZ75" s="46">
        <f t="shared" si="26"/>
        <v>48</v>
      </c>
      <c r="CA75" s="49">
        <f t="shared" si="27"/>
        <v>3.0748170731707316</v>
      </c>
      <c r="CB75" s="49" cm="1">
        <f t="array" ref="CB75">$BC75 * SUMPRODUCT(INDEX($AL$66:$AN$71,,$AE75),INDEX($AO$66:$AU$71,,$AD75), N($AK$66:$AK$71&gt;$AI75)) / CA75 / 1000</f>
        <v>0</v>
      </c>
      <c r="CC75" s="50">
        <f t="shared" si="28"/>
        <v>30</v>
      </c>
      <c r="CD75" s="46">
        <f t="shared" si="29"/>
        <v>43</v>
      </c>
      <c r="CE75" s="49">
        <f t="shared" si="30"/>
        <v>3.5018750000000001</v>
      </c>
      <c r="CF75" s="49" cm="1">
        <f t="array" ref="CF75">$BC75 * IF($AD75&lt;=2,
SUMPRODUCT(INDEX($AL$61:$AN$65,,$AE75), INDEX($AO$61:$AU$65,,$AD75), 1 / ($AV$61:$AV$65*CE75 + (1-$AV$61:$AV$65)*CA75), N($AK$61:$AK$65&gt;$AI75)),
SUMPRODUCT(INDEX($AL$56:$AN$65,,$AE75), INDEX($AO$56:$AU$65,,$AD75), 1 / ($AW$56:$AW$65*CE75 + (1-$AW$56:$AW$65)*CA75), N($AK$56:$AK$65&gt;$AI75))
) / 1000</f>
        <v>0</v>
      </c>
      <c r="CG75" s="50">
        <f t="shared" si="31"/>
        <v>25</v>
      </c>
      <c r="CH75" s="46">
        <f t="shared" si="32"/>
        <v>38</v>
      </c>
      <c r="CI75" s="49">
        <f t="shared" si="33"/>
        <v>4.0666935483870965</v>
      </c>
      <c r="CJ75" s="49" cm="1">
        <f t="array" ref="CJ75">$BC75 * IF($AD75&lt;=2,
SUMPRODUCT(INDEX($AL$56:$AN$60,,$AE75), INDEX($AO$56:$AU$60,,$AD75), 1 / ($AV$56:$AV$60*CI75 + (1-$AV$56:$AV$60)*CE75), N($AK$56:$AK$60&gt;$AI75)),
SUMPRODUCT(INDEX($AL$46:$AN$55,,$AE75), INDEX($AO$46:$AU$55,,$AD75), 1 / ($AW$46:$AW$55*CI75 + (1-$AW$46:$AW$55)*CE75), N($AK$46:$AK$55&gt;$AI75))
) / 1000</f>
        <v>0</v>
      </c>
      <c r="CK75" s="50">
        <f t="shared" si="34"/>
        <v>20</v>
      </c>
      <c r="CL75" s="46">
        <f t="shared" si="35"/>
        <v>33</v>
      </c>
      <c r="CM75" s="49">
        <f t="shared" si="36"/>
        <v>4.8487499999999999</v>
      </c>
      <c r="CN75" s="49" cm="1">
        <f t="array" ref="CN75">$BC75 * IF($AD75&lt;=2,
SUMPRODUCT(INDEX($AL$51:$AN$55,,$AE75), INDEX($AO$51:$AU$55,,$AD75), 1 / ($AV$51:$AV$55*CM75 + (1-$AV$51:$AV$55)*CI75), N($AK$51:$AK$55&gt;$AI75)),
SUMPRODUCT(INDEX($AL$36:$AN$45,,$AE75), INDEX($AO$36:$AU$45,,$AD75), 1 / ($AW$36:$AW$45*CM75 + (1-$AW$36:$AW$45)*CI75), N($AK$36:$AK$45&gt;$AI75))
) / 1000</f>
        <v>0</v>
      </c>
      <c r="CO75" s="49" cm="1">
        <f t="array" ref="CO75">$BC75 * IF($AD75&lt;=2,
SUMPRODUCT(INDEX($AL$12:$AN$50,,$AE75), INDEX($AO$12:$AU$50,,$AD75), 1 / ($AV$12:$AV$50*CM75), N($AK$12:$AK$50&gt;$AI75)),
SUMPRODUCT(INDEX($AL$12:$AN$35,,$AE75), INDEX($AO$12:$AU$35,,$AD75), 1 / ($AW$12:$AW$35*CM75), N($AK$12:$AK$35&gt;$AI75))
) / 1000</f>
        <v>0</v>
      </c>
      <c r="CP75" s="46">
        <f t="shared" si="37"/>
        <v>0</v>
      </c>
      <c r="CQ75" s="20"/>
    </row>
    <row r="76" spans="1:95" s="95" customFormat="1" ht="14.25" customHeight="1" x14ac:dyDescent="0.25">
      <c r="A76" s="36" t="b">
        <f t="shared" ref="A76:A111" si="44">IF(OR(AND($K76&gt;80, $AD76=1), AND($K76&gt;40, $AD76=3), AND($K76&gt;30, $AD76=4),), TRUE, FALSE)</f>
        <v>0</v>
      </c>
      <c r="B76" s="94">
        <v>65</v>
      </c>
      <c r="C76" s="7"/>
      <c r="D76" s="7"/>
      <c r="E76" s="33"/>
      <c r="F76" s="8" t="str">
        <f>IF(ISBLANK(E76), "", VLOOKUP(E76, Z!$A$2:$C$4127, 3, FALSE))</f>
        <v/>
      </c>
      <c r="G76" s="44"/>
      <c r="H76" s="44"/>
      <c r="I76" s="107"/>
      <c r="J76" s="108"/>
      <c r="K76" s="34"/>
      <c r="L76" s="59"/>
      <c r="M76" s="58" t="str" cm="1">
        <f t="array" ref="M76">IF($K76&gt;0, INDEX(Clean,1+AG76,$B$1), "")</f>
        <v/>
      </c>
      <c r="N76" s="62"/>
      <c r="O76" s="62"/>
      <c r="P76" s="63"/>
      <c r="Q76" s="52">
        <f t="shared" si="7"/>
        <v>0</v>
      </c>
      <c r="R76" s="58" t="str" cm="1">
        <f t="array" ref="R76">IF($K76&gt;0, INDEX(Clean,1+AH76,$B$1), "")</f>
        <v/>
      </c>
      <c r="S76" s="62"/>
      <c r="T76" s="62"/>
      <c r="U76" s="63"/>
      <c r="V76" s="52">
        <f t="shared" si="8"/>
        <v>0</v>
      </c>
      <c r="W76" s="6"/>
      <c r="X76" s="7"/>
      <c r="Y76" s="33"/>
      <c r="Z76" s="8" t="str">
        <f>IF(ISBLANK(Y76), "", VLOOKUP(Y76, Z!$A$2:$C$4127, 3, FALSE))</f>
        <v/>
      </c>
      <c r="AA76" s="38"/>
      <c r="AB76" s="9">
        <f t="shared" ref="AB76:AB111" si="45">0.75*AB$1*(Q76-V76)</f>
        <v>0</v>
      </c>
      <c r="AC76" s="20"/>
      <c r="AD76" s="41">
        <f t="shared" ref="AD76:AD111" si="46">IF(ISBLANK(H76), 1, IFERROR(MATCH(H76, INDEX(Use,,1), 0), IFERROR(MATCH(H76, INDEX(Use,,2), 0), MATCH(H76, INDEX(Use,,3), 0))))</f>
        <v>1</v>
      </c>
      <c r="AE76" s="41">
        <f t="shared" ref="AE76:AE111" si="47">IF(ISBLANK(G76), 1, IFERROR(MATCH(G76, INDEX(Loc,,1), 0), IFERROR(MATCH(G76, INDEX(Loc,,2), 0), MATCH(G76, INDEX(Loc,,3), 0))))</f>
        <v>1</v>
      </c>
      <c r="AF76" s="41">
        <f t="shared" ref="AF76:AF111" si="48">_xlfn.IFNA(IF(IFERROR(MATCH(I76, INDEX(Medium,,1), 0), IFERROR(MATCH(I76, INDEX(Medium,,2), 0), MATCH(I76, INDEX(Medium,,3), 0))) = 2, 1, 0), 0)</f>
        <v>0</v>
      </c>
      <c r="AG76" s="41">
        <v>1</v>
      </c>
      <c r="AH76" s="41">
        <v>0</v>
      </c>
      <c r="AI76" s="41">
        <f t="shared" ref="AI76:AI111" si="49">IF(AND(J76="x", AD76=5), 11, IF(AND(J76="x", AD76=6), 19, -100))</f>
        <v>-100</v>
      </c>
      <c r="AJ76" s="20"/>
      <c r="AK76" s="45"/>
      <c r="AL76" s="45"/>
      <c r="AM76" s="45"/>
      <c r="AN76" s="45"/>
      <c r="AO76" s="47"/>
      <c r="AP76" s="47"/>
      <c r="AQ76" s="47"/>
      <c r="AR76" s="47"/>
      <c r="AS76" s="47"/>
      <c r="AT76" s="47"/>
      <c r="AU76" s="47"/>
      <c r="AV76" s="47"/>
      <c r="AW76" s="47"/>
      <c r="AX76" s="15"/>
      <c r="AY76" s="41" cm="1">
        <f t="array" ref="AY76">INDEX(Use, $AD76, 4)</f>
        <v>7</v>
      </c>
      <c r="AZ76" s="41">
        <f t="shared" si="9"/>
        <v>32</v>
      </c>
      <c r="BA76" s="41">
        <f t="shared" si="10"/>
        <v>13</v>
      </c>
      <c r="BB76" s="41">
        <f t="shared" si="11"/>
        <v>0</v>
      </c>
      <c r="BC76" s="57" cm="1">
        <f t="array" ref="BC76">K76/IF($L76&gt;0, INDEX($AO$12:$AU$66, $L76+20, $AD76), 1)</f>
        <v>0</v>
      </c>
      <c r="BD76" s="46">
        <f t="shared" si="12"/>
        <v>0</v>
      </c>
      <c r="BE76" s="41">
        <v>35</v>
      </c>
      <c r="BF76" s="46">
        <f t="shared" si="13"/>
        <v>52.55</v>
      </c>
      <c r="BG76" s="49">
        <f t="shared" si="14"/>
        <v>2.7676728869374316</v>
      </c>
      <c r="BH76" s="49" cm="1">
        <f t="array" ref="BH76">$BC76 * SUMPRODUCT(INDEX($AL$66:$AN$71,,$AE76),INDEX($AO$66:$AU$71,,$AD76), N($AK$66:$AK$71&gt;$AI76)) / BG76 / 1000</f>
        <v>0</v>
      </c>
      <c r="BI76" s="50">
        <f t="shared" si="15"/>
        <v>30</v>
      </c>
      <c r="BJ76" s="46">
        <f t="shared" si="16"/>
        <v>46.033333333333331</v>
      </c>
      <c r="BK76" s="49">
        <f t="shared" si="17"/>
        <v>3.2297395388556791</v>
      </c>
      <c r="BL76" s="49" cm="1">
        <f t="array" ref="BL76">$BC76 * IF($AD76&lt;=2,
SUMPRODUCT(INDEX($AL$61:$AN$65,,$AE76), INDEX($AO$61:$AU$65,,$AD76), 1 / ($AV$61:$AV$65*BK76 + (1-$AV$61:$AV$65)*BG76), N($AK$61:$AK$65&gt;$AI76)),
SUMPRODUCT(INDEX($AL$56:$AN$65,,$AE76), INDEX($AO$56:$AU$65,,$AD76), 1 / ($AW$56:$AW$65*BK76 + (1-$AW$56:$AW$65)*BG76), N($AK$56:$AK$65&gt;$AI76))
) / 1000</f>
        <v>0</v>
      </c>
      <c r="BM76" s="50">
        <f t="shared" si="18"/>
        <v>25</v>
      </c>
      <c r="BN76" s="46">
        <f t="shared" si="19"/>
        <v>39.516666666666666</v>
      </c>
      <c r="BO76" s="49">
        <f t="shared" si="20"/>
        <v>3.877011788826243</v>
      </c>
      <c r="BP76" s="49" cm="1">
        <f t="array" ref="BP76">$BC76 * IF($AD76&lt;=2,
SUMPRODUCT(INDEX($AL$56:$AN$60,,$AE76), INDEX($AO$56:$AU$60,,$AD76), 1 / ($AV$56:$AV$60*BO76 + (1-$AV$56:$AV$60)*BK76), N($AK$56:$AK$60&gt;$AI76)),
SUMPRODUCT(INDEX($AL$46:$AN$55,,$AE76), INDEX($AO$46:$AU$55,,$AD76), 1 / ($AW$46:$AW$55*BO76 + (1-$AW$46:$AW$55)*BK76), N($AK$46:$AK$55&gt;$AI76))
) / 1000</f>
        <v>0</v>
      </c>
      <c r="BQ76" s="50">
        <f t="shared" si="21"/>
        <v>20</v>
      </c>
      <c r="BR76" s="46">
        <f t="shared" si="22"/>
        <v>33</v>
      </c>
      <c r="BS76" s="49">
        <f t="shared" si="23"/>
        <v>4.8487499999999999</v>
      </c>
      <c r="BT76" s="49" cm="1">
        <f t="array" ref="BT76">$BC76 * IF($AD76&lt;=2,
SUMPRODUCT(INDEX($AL$51:$AN$55,,$AE76), INDEX($AO$51:$AU$55,,$AD76), 1 / ($AV$51:$AV$55*BS76 + (1-$AV$51:$AV$55)*BO76), N($AK$51:$AK$55&gt;$AI76)),
SUMPRODUCT(INDEX($AL$36:$AN$45,,$AE76), INDEX($AO$36:$AU$45,,$AD76), 1 / ($AW$36:$AW$45*BS76 + (1-$AW$36:$AW$45)*BO76), N($AK$36:$AK$45&gt;$AI76))
) / 1000</f>
        <v>0</v>
      </c>
      <c r="BU76" s="49" cm="1">
        <f t="array" ref="BU76">$BC76 * IF($AD76&lt;=2,
SUMPRODUCT(INDEX($AL$12:$AN$50,,$AE76), INDEX($AO$12:$AU$50,,$AD76), 1 / ($AV$12:$AV$50*BS76), N($AK$12:$AK$50&gt;$AI76)),
SUMPRODUCT(INDEX($AL$12:$AN$35,,$AE76), INDEX($AO$12:$AU$35,,$AD76), 1 / ($AW$12:$AW$35*BS76), N($AK$12:$AK$35&gt;$AI76))
) / 1000</f>
        <v>0</v>
      </c>
      <c r="BV76" s="46">
        <f t="shared" si="24"/>
        <v>0</v>
      </c>
      <c r="BW76" s="20"/>
      <c r="BX76" s="46">
        <f t="shared" si="25"/>
        <v>0</v>
      </c>
      <c r="BY76" s="41">
        <v>35</v>
      </c>
      <c r="BZ76" s="46">
        <f t="shared" si="26"/>
        <v>48</v>
      </c>
      <c r="CA76" s="49">
        <f t="shared" si="27"/>
        <v>3.0748170731707316</v>
      </c>
      <c r="CB76" s="49" cm="1">
        <f t="array" ref="CB76">$BC76 * SUMPRODUCT(INDEX($AL$66:$AN$71,,$AE76),INDEX($AO$66:$AU$71,,$AD76), N($AK$66:$AK$71&gt;$AI76)) / CA76 / 1000</f>
        <v>0</v>
      </c>
      <c r="CC76" s="50">
        <f t="shared" si="28"/>
        <v>30</v>
      </c>
      <c r="CD76" s="46">
        <f t="shared" si="29"/>
        <v>43</v>
      </c>
      <c r="CE76" s="49">
        <f t="shared" si="30"/>
        <v>3.5018750000000001</v>
      </c>
      <c r="CF76" s="49" cm="1">
        <f t="array" ref="CF76">$BC76 * IF($AD76&lt;=2,
SUMPRODUCT(INDEX($AL$61:$AN$65,,$AE76), INDEX($AO$61:$AU$65,,$AD76), 1 / ($AV$61:$AV$65*CE76 + (1-$AV$61:$AV$65)*CA76), N($AK$61:$AK$65&gt;$AI76)),
SUMPRODUCT(INDEX($AL$56:$AN$65,,$AE76), INDEX($AO$56:$AU$65,,$AD76), 1 / ($AW$56:$AW$65*CE76 + (1-$AW$56:$AW$65)*CA76), N($AK$56:$AK$65&gt;$AI76))
) / 1000</f>
        <v>0</v>
      </c>
      <c r="CG76" s="50">
        <f t="shared" si="31"/>
        <v>25</v>
      </c>
      <c r="CH76" s="46">
        <f t="shared" si="32"/>
        <v>38</v>
      </c>
      <c r="CI76" s="49">
        <f t="shared" si="33"/>
        <v>4.0666935483870965</v>
      </c>
      <c r="CJ76" s="49" cm="1">
        <f t="array" ref="CJ76">$BC76 * IF($AD76&lt;=2,
SUMPRODUCT(INDEX($AL$56:$AN$60,,$AE76), INDEX($AO$56:$AU$60,,$AD76), 1 / ($AV$56:$AV$60*CI76 + (1-$AV$56:$AV$60)*CE76), N($AK$56:$AK$60&gt;$AI76)),
SUMPRODUCT(INDEX($AL$46:$AN$55,,$AE76), INDEX($AO$46:$AU$55,,$AD76), 1 / ($AW$46:$AW$55*CI76 + (1-$AW$46:$AW$55)*CE76), N($AK$46:$AK$55&gt;$AI76))
) / 1000</f>
        <v>0</v>
      </c>
      <c r="CK76" s="50">
        <f t="shared" si="34"/>
        <v>20</v>
      </c>
      <c r="CL76" s="46">
        <f t="shared" si="35"/>
        <v>33</v>
      </c>
      <c r="CM76" s="49">
        <f t="shared" si="36"/>
        <v>4.8487499999999999</v>
      </c>
      <c r="CN76" s="49" cm="1">
        <f t="array" ref="CN76">$BC76 * IF($AD76&lt;=2,
SUMPRODUCT(INDEX($AL$51:$AN$55,,$AE76), INDEX($AO$51:$AU$55,,$AD76), 1 / ($AV$51:$AV$55*CM76 + (1-$AV$51:$AV$55)*CI76), N($AK$51:$AK$55&gt;$AI76)),
SUMPRODUCT(INDEX($AL$36:$AN$45,,$AE76), INDEX($AO$36:$AU$45,,$AD76), 1 / ($AW$36:$AW$45*CM76 + (1-$AW$36:$AW$45)*CI76), N($AK$36:$AK$45&gt;$AI76))
) / 1000</f>
        <v>0</v>
      </c>
      <c r="CO76" s="49" cm="1">
        <f t="array" ref="CO76">$BC76 * IF($AD76&lt;=2,
SUMPRODUCT(INDEX($AL$12:$AN$50,,$AE76), INDEX($AO$12:$AU$50,,$AD76), 1 / ($AV$12:$AV$50*CM76), N($AK$12:$AK$50&gt;$AI76)),
SUMPRODUCT(INDEX($AL$12:$AN$35,,$AE76), INDEX($AO$12:$AU$35,,$AD76), 1 / ($AW$12:$AW$35*CM76), N($AK$12:$AK$35&gt;$AI76))
) / 1000</f>
        <v>0</v>
      </c>
      <c r="CP76" s="46">
        <f t="shared" si="37"/>
        <v>0</v>
      </c>
      <c r="CQ76" s="20"/>
    </row>
    <row r="77" spans="1:95" s="95" customFormat="1" ht="14.25" customHeight="1" x14ac:dyDescent="0.25">
      <c r="A77" s="36" t="b">
        <f t="shared" si="44"/>
        <v>0</v>
      </c>
      <c r="B77" s="94">
        <v>66</v>
      </c>
      <c r="C77" s="7"/>
      <c r="D77" s="7"/>
      <c r="E77" s="33"/>
      <c r="F77" s="8" t="str">
        <f>IF(ISBLANK(E77), "", VLOOKUP(E77, Z!$A$2:$C$4127, 3, FALSE))</f>
        <v/>
      </c>
      <c r="G77" s="44"/>
      <c r="H77" s="44"/>
      <c r="I77" s="107"/>
      <c r="J77" s="108"/>
      <c r="K77" s="34"/>
      <c r="L77" s="59"/>
      <c r="M77" s="58" t="str" cm="1">
        <f t="array" ref="M77">IF($K77&gt;0, INDEX(Clean,1+AG77,$B$1), "")</f>
        <v/>
      </c>
      <c r="N77" s="62"/>
      <c r="O77" s="62"/>
      <c r="P77" s="63"/>
      <c r="Q77" s="52">
        <f t="shared" ref="Q77:Q111" si="50">BV77</f>
        <v>0</v>
      </c>
      <c r="R77" s="58" t="str" cm="1">
        <f t="array" ref="R77">IF($K77&gt;0, INDEX(Clean,1+AH77,$B$1), "")</f>
        <v/>
      </c>
      <c r="S77" s="62"/>
      <c r="T77" s="62"/>
      <c r="U77" s="63"/>
      <c r="V77" s="52">
        <f t="shared" ref="V77:V111" si="51">CP77</f>
        <v>0</v>
      </c>
      <c r="W77" s="6"/>
      <c r="X77" s="7"/>
      <c r="Y77" s="33"/>
      <c r="Z77" s="8" t="str">
        <f>IF(ISBLANK(Y77), "", VLOOKUP(Y77, Z!$A$2:$C$4127, 3, FALSE))</f>
        <v/>
      </c>
      <c r="AA77" s="38"/>
      <c r="AB77" s="9">
        <f t="shared" si="45"/>
        <v>0</v>
      </c>
      <c r="AC77" s="20"/>
      <c r="AD77" s="41">
        <f t="shared" si="46"/>
        <v>1</v>
      </c>
      <c r="AE77" s="41">
        <f t="shared" si="47"/>
        <v>1</v>
      </c>
      <c r="AF77" s="41">
        <f t="shared" si="48"/>
        <v>0</v>
      </c>
      <c r="AG77" s="41">
        <v>1</v>
      </c>
      <c r="AH77" s="41">
        <v>0</v>
      </c>
      <c r="AI77" s="41">
        <f t="shared" si="49"/>
        <v>-100</v>
      </c>
      <c r="AJ77" s="20"/>
      <c r="AK77" s="45"/>
      <c r="AL77" s="45"/>
      <c r="AM77" s="45"/>
      <c r="AN77" s="45"/>
      <c r="AO77" s="47"/>
      <c r="AP77" s="47"/>
      <c r="AQ77" s="47"/>
      <c r="AR77" s="47"/>
      <c r="AS77" s="47"/>
      <c r="AT77" s="47"/>
      <c r="AU77" s="47"/>
      <c r="AV77" s="47"/>
      <c r="AW77" s="47"/>
      <c r="AX77" s="15"/>
      <c r="AY77" s="41" cm="1">
        <f t="array" ref="AY77">INDEX(Use, $AD77, 4)</f>
        <v>7</v>
      </c>
      <c r="AZ77" s="41">
        <f t="shared" ref="AZ77:AZ111" si="52">MAX(25, AY77+25)</f>
        <v>32</v>
      </c>
      <c r="BA77" s="41">
        <f t="shared" ref="BA77:BA111" si="53">IF($AF77=1, 6, IF($AD77=4, 10, 13))</f>
        <v>13</v>
      </c>
      <c r="BB77" s="41">
        <f t="shared" ref="BB77:BB111" si="54">IF($AF77=1, 9, 0)</f>
        <v>0</v>
      </c>
      <c r="BC77" s="57" cm="1">
        <f t="array" ref="BC77">K77/IF($L77&gt;0, INDEX($AO$12:$AU$66, $L77+20, $AD77), 1)</f>
        <v>0</v>
      </c>
      <c r="BD77" s="46">
        <f t="shared" ref="BD77:BD111" si="55">P77 /  IF(AD77&lt;=2, 0.7 + 0.3 * (O77-20)/(35-20), 0.4 + 0.6 * (O77-5)/(35-5))</f>
        <v>0</v>
      </c>
      <c r="BE77" s="41">
        <v>35</v>
      </c>
      <c r="BF77" s="46">
        <f t="shared" ref="BF77:BF111" si="56">MAX($N77, MAX($AZ77, $BE77 + $BA77 + $BB77 + 0.35*$AG77*$BA77 + BD77))</f>
        <v>52.55</v>
      </c>
      <c r="BG77" s="49">
        <f t="shared" ref="BG77:BG111" si="57">0.45*($AY77+273.15)/(BF77-$AY77)</f>
        <v>2.7676728869374316</v>
      </c>
      <c r="BH77" s="49" cm="1">
        <f t="array" ref="BH77">$BC77 * SUMPRODUCT(INDEX($AL$66:$AN$71,,$AE77),INDEX($AO$66:$AU$71,,$AD77), N($AK$66:$AK$71&gt;$AI77)) / BG77 / 1000</f>
        <v>0</v>
      </c>
      <c r="BI77" s="50">
        <f t="shared" ref="BI77:BI111" si="58">IF($AD77&lt;=2, 30, 25)</f>
        <v>30</v>
      </c>
      <c r="BJ77" s="46">
        <f t="shared" ref="BJ77:BJ111" si="59">MAX($N77, MAX($AZ77, BI77 + $BA77 + $BB77 + IF($AD77&lt;=2, (BI77-20)/(35-20), 0.6+0.4*(BI77-5)/(35-5))*0.35*$AG77*$BA77) + IF($AD77&lt;=2,0.9,0.8)*$BD77)</f>
        <v>46.033333333333331</v>
      </c>
      <c r="BK77" s="49">
        <f t="shared" ref="BK77:BK111" si="60">0.45*($AY77+273.15)/(BJ77-$AY77)</f>
        <v>3.2297395388556791</v>
      </c>
      <c r="BL77" s="49" cm="1">
        <f t="array" ref="BL77">$BC77 * IF($AD77&lt;=2,
SUMPRODUCT(INDEX($AL$61:$AN$65,,$AE77), INDEX($AO$61:$AU$65,,$AD77), 1 / ($AV$61:$AV$65*BK77 + (1-$AV$61:$AV$65)*BG77), N($AK$61:$AK$65&gt;$AI77)),
SUMPRODUCT(INDEX($AL$56:$AN$65,,$AE77), INDEX($AO$56:$AU$65,,$AD77), 1 / ($AW$56:$AW$65*BK77 + (1-$AW$56:$AW$65)*BG77), N($AK$56:$AK$65&gt;$AI77))
) / 1000</f>
        <v>0</v>
      </c>
      <c r="BM77" s="50">
        <f t="shared" ref="BM77:BM111" si="61">IF($AD77&lt;=2, 25, 15)</f>
        <v>25</v>
      </c>
      <c r="BN77" s="46">
        <f t="shared" ref="BN77:BN111" si="62">MAX($N77, MAX($AZ77, BM77 + $BA77 + $BB77 + IF($AD77&lt;=2, (BM77-20)/(35-20), 0.6+0.4*(BM77-5)/(35-5))*0.35*$AG77*$BA77) + IF($AD77&lt;=2,0.8,0.6)*$BD77)</f>
        <v>39.516666666666666</v>
      </c>
      <c r="BO77" s="49">
        <f t="shared" ref="BO77:BO111" si="63">0.45*($AY77+273.15)/(BN77-$AY77)</f>
        <v>3.877011788826243</v>
      </c>
      <c r="BP77" s="49" cm="1">
        <f t="array" ref="BP77">$BC77 * IF($AD77&lt;=2,
SUMPRODUCT(INDEX($AL$56:$AN$60,,$AE77), INDEX($AO$56:$AU$60,,$AD77), 1 / ($AV$56:$AV$60*BO77 + (1-$AV$56:$AV$60)*BK77), N($AK$56:$AK$60&gt;$AI77)),
SUMPRODUCT(INDEX($AL$46:$AN$55,,$AE77), INDEX($AO$46:$AU$55,,$AD77), 1 / ($AW$46:$AW$55*BO77 + (1-$AW$46:$AW$55)*BK77), N($AK$46:$AK$55&gt;$AI77))
) / 1000</f>
        <v>0</v>
      </c>
      <c r="BQ77" s="50">
        <f t="shared" ref="BQ77:BQ111" si="64">IF($AD77&lt;=2, 20, 5)</f>
        <v>20</v>
      </c>
      <c r="BR77" s="46">
        <f t="shared" ref="BR77:BR111" si="65">MAX($N77, MAX($AZ77, BQ77 + $BA77 + $BB77 + IF($AD77&lt;=2, (BQ77-20)/(35-20), 0.6+0.4*(BQ77-5)/(35-5))*0.35*$AG77*$BA77) + IF($AD77&lt;=2,0.7,0.4)*$BD77)</f>
        <v>33</v>
      </c>
      <c r="BS77" s="49">
        <f t="shared" ref="BS77:BS111" si="66">0.45*($AY77+273.15)/(BR77-$AY77)</f>
        <v>4.8487499999999999</v>
      </c>
      <c r="BT77" s="49" cm="1">
        <f t="array" ref="BT77">$BC77 * IF($AD77&lt;=2,
SUMPRODUCT(INDEX($AL$51:$AN$55,,$AE77), INDEX($AO$51:$AU$55,,$AD77), 1 / ($AV$51:$AV$55*BS77 + (1-$AV$51:$AV$55)*BO77), N($AK$51:$AK$55&gt;$AI77)),
SUMPRODUCT(INDEX($AL$36:$AN$45,,$AE77), INDEX($AO$36:$AU$45,,$AD77), 1 / ($AW$36:$AW$45*BS77 + (1-$AW$36:$AW$45)*BO77), N($AK$36:$AK$45&gt;$AI77))
) / 1000</f>
        <v>0</v>
      </c>
      <c r="BU77" s="49" cm="1">
        <f t="array" ref="BU77">$BC77 * IF($AD77&lt;=2,
SUMPRODUCT(INDEX($AL$12:$AN$50,,$AE77), INDEX($AO$12:$AU$50,,$AD77), 1 / ($AV$12:$AV$50*BS77), N($AK$12:$AK$50&gt;$AI77)),
SUMPRODUCT(INDEX($AL$12:$AN$35,,$AE77), INDEX($AO$12:$AU$35,,$AD77), 1 / ($AW$12:$AW$35*BS77), N($AK$12:$AK$35&gt;$AI77))
) / 1000</f>
        <v>0</v>
      </c>
      <c r="BV77" s="46">
        <f t="shared" ref="BV77:BV111" si="67">BH77+BL77+BP77+BT77+BU77</f>
        <v>0</v>
      </c>
      <c r="BW77" s="20"/>
      <c r="BX77" s="46">
        <f t="shared" ref="BX77:BX111" si="68">U77 /  IF(AD77&lt;=2, 0.7 + 0.3 * (T77-20)/(35-20), 0.4 + 0.6 * (T77-5)/(35-5))</f>
        <v>0</v>
      </c>
      <c r="BY77" s="41">
        <v>35</v>
      </c>
      <c r="BZ77" s="46">
        <f t="shared" ref="BZ77:BZ111" si="69">MAX($S77, MAX($AZ77, $BE77 + $BA77 + $BB77 + 0.35*$AH77*$BA77 + BX77))</f>
        <v>48</v>
      </c>
      <c r="CA77" s="49">
        <f t="shared" ref="CA77:CA111" si="70">0.45*($AY77+273.15)/(BZ77-$AY77)</f>
        <v>3.0748170731707316</v>
      </c>
      <c r="CB77" s="49" cm="1">
        <f t="array" ref="CB77">$BC77 * SUMPRODUCT(INDEX($AL$66:$AN$71,,$AE77),INDEX($AO$66:$AU$71,,$AD77), N($AK$66:$AK$71&gt;$AI77)) / CA77 / 1000</f>
        <v>0</v>
      </c>
      <c r="CC77" s="50">
        <f t="shared" ref="CC77:CC111" si="71">IF($AD77&lt;=2, 30, 25)</f>
        <v>30</v>
      </c>
      <c r="CD77" s="46">
        <f t="shared" ref="CD77:CD111" si="72">MAX($S77, MAX($AZ77, CC77 + $BA77 + $BB77 + IF($AD77&lt;=2, (CC77-20)/(35-20), 0.6+0.4*(CC77-5)/(35-5))*0.35*$AH77*$BA77) + IF($AD77&lt;=2,0.9,0.8)*$BX77)</f>
        <v>43</v>
      </c>
      <c r="CE77" s="49">
        <f t="shared" ref="CE77:CE111" si="73">0.45*($AY77+273.15)/(CD77-$AY77)</f>
        <v>3.5018750000000001</v>
      </c>
      <c r="CF77" s="49" cm="1">
        <f t="array" ref="CF77">$BC77 * IF($AD77&lt;=2,
SUMPRODUCT(INDEX($AL$61:$AN$65,,$AE77), INDEX($AO$61:$AU$65,,$AD77), 1 / ($AV$61:$AV$65*CE77 + (1-$AV$61:$AV$65)*CA77), N($AK$61:$AK$65&gt;$AI77)),
SUMPRODUCT(INDEX($AL$56:$AN$65,,$AE77), INDEX($AO$56:$AU$65,,$AD77), 1 / ($AW$56:$AW$65*CE77 + (1-$AW$56:$AW$65)*CA77), N($AK$56:$AK$65&gt;$AI77))
) / 1000</f>
        <v>0</v>
      </c>
      <c r="CG77" s="50">
        <f t="shared" ref="CG77:CG111" si="74">IF($AD77&lt;=2, 25, 15)</f>
        <v>25</v>
      </c>
      <c r="CH77" s="46">
        <f t="shared" ref="CH77:CH111" si="75">MAX($S77, MAX($AZ77, CG77 + $BA77 + $BB77 + IF($AD77&lt;=2, (CG77-20)/(35-20), 0.6+0.4*(CG77-5)/(35-5))*0.35*$AH77*$BA77) + IF($AD77&lt;=2,0.8,0.6)*$BX77)</f>
        <v>38</v>
      </c>
      <c r="CI77" s="49">
        <f t="shared" ref="CI77:CI111" si="76">0.45*($AY77+273.15)/(CH77-$AY77)</f>
        <v>4.0666935483870965</v>
      </c>
      <c r="CJ77" s="49" cm="1">
        <f t="array" ref="CJ77">$BC77 * IF($AD77&lt;=2,
SUMPRODUCT(INDEX($AL$56:$AN$60,,$AE77), INDEX($AO$56:$AU$60,,$AD77), 1 / ($AV$56:$AV$60*CI77 + (1-$AV$56:$AV$60)*CE77), N($AK$56:$AK$60&gt;$AI77)),
SUMPRODUCT(INDEX($AL$46:$AN$55,,$AE77), INDEX($AO$46:$AU$55,,$AD77), 1 / ($AW$46:$AW$55*CI77 + (1-$AW$46:$AW$55)*CE77), N($AK$46:$AK$55&gt;$AI77))
) / 1000</f>
        <v>0</v>
      </c>
      <c r="CK77" s="50">
        <f t="shared" ref="CK77:CK111" si="77">IF($AD77&lt;=2, 20, 5)</f>
        <v>20</v>
      </c>
      <c r="CL77" s="46">
        <f t="shared" ref="CL77:CL111" si="78">MAX($S77, MAX($AZ77, CK77 + $BA77 + $BB77 + IF($AD77&lt;=2, (CK77-20)/(35-20), 0.6+0.4*(CK77-5)/(35-5))*0.35*$AH77*$BA77) + IF($AD77&lt;=2,0.7,0.4)*$BX77)</f>
        <v>33</v>
      </c>
      <c r="CM77" s="49">
        <f t="shared" ref="CM77:CM111" si="79">0.45*($AY77+273.15)/(CL77-$AY77)</f>
        <v>4.8487499999999999</v>
      </c>
      <c r="CN77" s="49" cm="1">
        <f t="array" ref="CN77">$BC77 * IF($AD77&lt;=2,
SUMPRODUCT(INDEX($AL$51:$AN$55,,$AE77), INDEX($AO$51:$AU$55,,$AD77), 1 / ($AV$51:$AV$55*CM77 + (1-$AV$51:$AV$55)*CI77), N($AK$51:$AK$55&gt;$AI77)),
SUMPRODUCT(INDEX($AL$36:$AN$45,,$AE77), INDEX($AO$36:$AU$45,,$AD77), 1 / ($AW$36:$AW$45*CM77 + (1-$AW$36:$AW$45)*CI77), N($AK$36:$AK$45&gt;$AI77))
) / 1000</f>
        <v>0</v>
      </c>
      <c r="CO77" s="49" cm="1">
        <f t="array" ref="CO77">$BC77 * IF($AD77&lt;=2,
SUMPRODUCT(INDEX($AL$12:$AN$50,,$AE77), INDEX($AO$12:$AU$50,,$AD77), 1 / ($AV$12:$AV$50*CM77), N($AK$12:$AK$50&gt;$AI77)),
SUMPRODUCT(INDEX($AL$12:$AN$35,,$AE77), INDEX($AO$12:$AU$35,,$AD77), 1 / ($AW$12:$AW$35*CM77), N($AK$12:$AK$35&gt;$AI77))
) / 1000</f>
        <v>0</v>
      </c>
      <c r="CP77" s="46">
        <f t="shared" ref="CP77:CP111" si="80">CB77+CF77+CJ77+CN77+CO77</f>
        <v>0</v>
      </c>
      <c r="CQ77" s="20"/>
    </row>
    <row r="78" spans="1:95" s="95" customFormat="1" ht="14.25" customHeight="1" x14ac:dyDescent="0.25">
      <c r="A78" s="36" t="b">
        <f t="shared" si="44"/>
        <v>0</v>
      </c>
      <c r="B78" s="94">
        <v>67</v>
      </c>
      <c r="C78" s="7"/>
      <c r="D78" s="7"/>
      <c r="E78" s="33"/>
      <c r="F78" s="8" t="str">
        <f>IF(ISBLANK(E78), "", VLOOKUP(E78, Z!$A$2:$C$4127, 3, FALSE))</f>
        <v/>
      </c>
      <c r="G78" s="44"/>
      <c r="H78" s="44"/>
      <c r="I78" s="107"/>
      <c r="J78" s="108"/>
      <c r="K78" s="34"/>
      <c r="L78" s="59"/>
      <c r="M78" s="58" t="str" cm="1">
        <f t="array" ref="M78">IF($K78&gt;0, INDEX(Clean,1+AG78,$B$1), "")</f>
        <v/>
      </c>
      <c r="N78" s="62"/>
      <c r="O78" s="62"/>
      <c r="P78" s="63"/>
      <c r="Q78" s="52">
        <f t="shared" si="50"/>
        <v>0</v>
      </c>
      <c r="R78" s="58" t="str" cm="1">
        <f t="array" ref="R78">IF($K78&gt;0, INDEX(Clean,1+AH78,$B$1), "")</f>
        <v/>
      </c>
      <c r="S78" s="62"/>
      <c r="T78" s="62"/>
      <c r="U78" s="63"/>
      <c r="V78" s="52">
        <f t="shared" si="51"/>
        <v>0</v>
      </c>
      <c r="W78" s="6"/>
      <c r="X78" s="7"/>
      <c r="Y78" s="33"/>
      <c r="Z78" s="8" t="str">
        <f>IF(ISBLANK(Y78), "", VLOOKUP(Y78, Z!$A$2:$C$4127, 3, FALSE))</f>
        <v/>
      </c>
      <c r="AA78" s="38"/>
      <c r="AB78" s="9">
        <f t="shared" si="45"/>
        <v>0</v>
      </c>
      <c r="AC78" s="20"/>
      <c r="AD78" s="41">
        <f t="shared" si="46"/>
        <v>1</v>
      </c>
      <c r="AE78" s="41">
        <f t="shared" si="47"/>
        <v>1</v>
      </c>
      <c r="AF78" s="41">
        <f t="shared" si="48"/>
        <v>0</v>
      </c>
      <c r="AG78" s="41">
        <v>1</v>
      </c>
      <c r="AH78" s="41">
        <v>0</v>
      </c>
      <c r="AI78" s="41">
        <f t="shared" si="49"/>
        <v>-100</v>
      </c>
      <c r="AJ78" s="20"/>
      <c r="AK78" s="45"/>
      <c r="AL78" s="45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15"/>
      <c r="AY78" s="41" cm="1">
        <f t="array" ref="AY78">INDEX(Use, $AD78, 4)</f>
        <v>7</v>
      </c>
      <c r="AZ78" s="41">
        <f t="shared" si="52"/>
        <v>32</v>
      </c>
      <c r="BA78" s="41">
        <f t="shared" si="53"/>
        <v>13</v>
      </c>
      <c r="BB78" s="41">
        <f t="shared" si="54"/>
        <v>0</v>
      </c>
      <c r="BC78" s="57" cm="1">
        <f t="array" ref="BC78">K78/IF($L78&gt;0, INDEX($AO$12:$AU$66, $L78+20, $AD78), 1)</f>
        <v>0</v>
      </c>
      <c r="BD78" s="46">
        <f t="shared" si="55"/>
        <v>0</v>
      </c>
      <c r="BE78" s="41">
        <v>35</v>
      </c>
      <c r="BF78" s="46">
        <f t="shared" si="56"/>
        <v>52.55</v>
      </c>
      <c r="BG78" s="49">
        <f t="shared" si="57"/>
        <v>2.7676728869374316</v>
      </c>
      <c r="BH78" s="49" cm="1">
        <f t="array" ref="BH78">$BC78 * SUMPRODUCT(INDEX($AL$66:$AN$71,,$AE78),INDEX($AO$66:$AU$71,,$AD78), N($AK$66:$AK$71&gt;$AI78)) / BG78 / 1000</f>
        <v>0</v>
      </c>
      <c r="BI78" s="50">
        <f t="shared" si="58"/>
        <v>30</v>
      </c>
      <c r="BJ78" s="46">
        <f t="shared" si="59"/>
        <v>46.033333333333331</v>
      </c>
      <c r="BK78" s="49">
        <f t="shared" si="60"/>
        <v>3.2297395388556791</v>
      </c>
      <c r="BL78" s="49" cm="1">
        <f t="array" ref="BL78">$BC78 * IF($AD78&lt;=2,
SUMPRODUCT(INDEX($AL$61:$AN$65,,$AE78), INDEX($AO$61:$AU$65,,$AD78), 1 / ($AV$61:$AV$65*BK78 + (1-$AV$61:$AV$65)*BG78), N($AK$61:$AK$65&gt;$AI78)),
SUMPRODUCT(INDEX($AL$56:$AN$65,,$AE78), INDEX($AO$56:$AU$65,,$AD78), 1 / ($AW$56:$AW$65*BK78 + (1-$AW$56:$AW$65)*BG78), N($AK$56:$AK$65&gt;$AI78))
) / 1000</f>
        <v>0</v>
      </c>
      <c r="BM78" s="50">
        <f t="shared" si="61"/>
        <v>25</v>
      </c>
      <c r="BN78" s="46">
        <f t="shared" si="62"/>
        <v>39.516666666666666</v>
      </c>
      <c r="BO78" s="49">
        <f t="shared" si="63"/>
        <v>3.877011788826243</v>
      </c>
      <c r="BP78" s="49" cm="1">
        <f t="array" ref="BP78">$BC78 * IF($AD78&lt;=2,
SUMPRODUCT(INDEX($AL$56:$AN$60,,$AE78), INDEX($AO$56:$AU$60,,$AD78), 1 / ($AV$56:$AV$60*BO78 + (1-$AV$56:$AV$60)*BK78), N($AK$56:$AK$60&gt;$AI78)),
SUMPRODUCT(INDEX($AL$46:$AN$55,,$AE78), INDEX($AO$46:$AU$55,,$AD78), 1 / ($AW$46:$AW$55*BO78 + (1-$AW$46:$AW$55)*BK78), N($AK$46:$AK$55&gt;$AI78))
) / 1000</f>
        <v>0</v>
      </c>
      <c r="BQ78" s="50">
        <f t="shared" si="64"/>
        <v>20</v>
      </c>
      <c r="BR78" s="46">
        <f t="shared" si="65"/>
        <v>33</v>
      </c>
      <c r="BS78" s="49">
        <f t="shared" si="66"/>
        <v>4.8487499999999999</v>
      </c>
      <c r="BT78" s="49" cm="1">
        <f t="array" ref="BT78">$BC78 * IF($AD78&lt;=2,
SUMPRODUCT(INDEX($AL$51:$AN$55,,$AE78), INDEX($AO$51:$AU$55,,$AD78), 1 / ($AV$51:$AV$55*BS78 + (1-$AV$51:$AV$55)*BO78), N($AK$51:$AK$55&gt;$AI78)),
SUMPRODUCT(INDEX($AL$36:$AN$45,,$AE78), INDEX($AO$36:$AU$45,,$AD78), 1 / ($AW$36:$AW$45*BS78 + (1-$AW$36:$AW$45)*BO78), N($AK$36:$AK$45&gt;$AI78))
) / 1000</f>
        <v>0</v>
      </c>
      <c r="BU78" s="49" cm="1">
        <f t="array" ref="BU78">$BC78 * IF($AD78&lt;=2,
SUMPRODUCT(INDEX($AL$12:$AN$50,,$AE78), INDEX($AO$12:$AU$50,,$AD78), 1 / ($AV$12:$AV$50*BS78), N($AK$12:$AK$50&gt;$AI78)),
SUMPRODUCT(INDEX($AL$12:$AN$35,,$AE78), INDEX($AO$12:$AU$35,,$AD78), 1 / ($AW$12:$AW$35*BS78), N($AK$12:$AK$35&gt;$AI78))
) / 1000</f>
        <v>0</v>
      </c>
      <c r="BV78" s="46">
        <f t="shared" si="67"/>
        <v>0</v>
      </c>
      <c r="BW78" s="20"/>
      <c r="BX78" s="46">
        <f t="shared" si="68"/>
        <v>0</v>
      </c>
      <c r="BY78" s="41">
        <v>35</v>
      </c>
      <c r="BZ78" s="46">
        <f t="shared" si="69"/>
        <v>48</v>
      </c>
      <c r="CA78" s="49">
        <f t="shared" si="70"/>
        <v>3.0748170731707316</v>
      </c>
      <c r="CB78" s="49" cm="1">
        <f t="array" ref="CB78">$BC78 * SUMPRODUCT(INDEX($AL$66:$AN$71,,$AE78),INDEX($AO$66:$AU$71,,$AD78), N($AK$66:$AK$71&gt;$AI78)) / CA78 / 1000</f>
        <v>0</v>
      </c>
      <c r="CC78" s="50">
        <f t="shared" si="71"/>
        <v>30</v>
      </c>
      <c r="CD78" s="46">
        <f t="shared" si="72"/>
        <v>43</v>
      </c>
      <c r="CE78" s="49">
        <f t="shared" si="73"/>
        <v>3.5018750000000001</v>
      </c>
      <c r="CF78" s="49" cm="1">
        <f t="array" ref="CF78">$BC78 * IF($AD78&lt;=2,
SUMPRODUCT(INDEX($AL$61:$AN$65,,$AE78), INDEX($AO$61:$AU$65,,$AD78), 1 / ($AV$61:$AV$65*CE78 + (1-$AV$61:$AV$65)*CA78), N($AK$61:$AK$65&gt;$AI78)),
SUMPRODUCT(INDEX($AL$56:$AN$65,,$AE78), INDEX($AO$56:$AU$65,,$AD78), 1 / ($AW$56:$AW$65*CE78 + (1-$AW$56:$AW$65)*CA78), N($AK$56:$AK$65&gt;$AI78))
) / 1000</f>
        <v>0</v>
      </c>
      <c r="CG78" s="50">
        <f t="shared" si="74"/>
        <v>25</v>
      </c>
      <c r="CH78" s="46">
        <f t="shared" si="75"/>
        <v>38</v>
      </c>
      <c r="CI78" s="49">
        <f t="shared" si="76"/>
        <v>4.0666935483870965</v>
      </c>
      <c r="CJ78" s="49" cm="1">
        <f t="array" ref="CJ78">$BC78 * IF($AD78&lt;=2,
SUMPRODUCT(INDEX($AL$56:$AN$60,,$AE78), INDEX($AO$56:$AU$60,,$AD78), 1 / ($AV$56:$AV$60*CI78 + (1-$AV$56:$AV$60)*CE78), N($AK$56:$AK$60&gt;$AI78)),
SUMPRODUCT(INDEX($AL$46:$AN$55,,$AE78), INDEX($AO$46:$AU$55,,$AD78), 1 / ($AW$46:$AW$55*CI78 + (1-$AW$46:$AW$55)*CE78), N($AK$46:$AK$55&gt;$AI78))
) / 1000</f>
        <v>0</v>
      </c>
      <c r="CK78" s="50">
        <f t="shared" si="77"/>
        <v>20</v>
      </c>
      <c r="CL78" s="46">
        <f t="shared" si="78"/>
        <v>33</v>
      </c>
      <c r="CM78" s="49">
        <f t="shared" si="79"/>
        <v>4.8487499999999999</v>
      </c>
      <c r="CN78" s="49" cm="1">
        <f t="array" ref="CN78">$BC78 * IF($AD78&lt;=2,
SUMPRODUCT(INDEX($AL$51:$AN$55,,$AE78), INDEX($AO$51:$AU$55,,$AD78), 1 / ($AV$51:$AV$55*CM78 + (1-$AV$51:$AV$55)*CI78), N($AK$51:$AK$55&gt;$AI78)),
SUMPRODUCT(INDEX($AL$36:$AN$45,,$AE78), INDEX($AO$36:$AU$45,,$AD78), 1 / ($AW$36:$AW$45*CM78 + (1-$AW$36:$AW$45)*CI78), N($AK$36:$AK$45&gt;$AI78))
) / 1000</f>
        <v>0</v>
      </c>
      <c r="CO78" s="49" cm="1">
        <f t="array" ref="CO78">$BC78 * IF($AD78&lt;=2,
SUMPRODUCT(INDEX($AL$12:$AN$50,,$AE78), INDEX($AO$12:$AU$50,,$AD78), 1 / ($AV$12:$AV$50*CM78), N($AK$12:$AK$50&gt;$AI78)),
SUMPRODUCT(INDEX($AL$12:$AN$35,,$AE78), INDEX($AO$12:$AU$35,,$AD78), 1 / ($AW$12:$AW$35*CM78), N($AK$12:$AK$35&gt;$AI78))
) / 1000</f>
        <v>0</v>
      </c>
      <c r="CP78" s="46">
        <f t="shared" si="80"/>
        <v>0</v>
      </c>
      <c r="CQ78" s="20"/>
    </row>
    <row r="79" spans="1:95" s="95" customFormat="1" ht="14.25" customHeight="1" x14ac:dyDescent="0.25">
      <c r="A79" s="36" t="b">
        <f t="shared" si="44"/>
        <v>0</v>
      </c>
      <c r="B79" s="94">
        <v>68</v>
      </c>
      <c r="C79" s="7"/>
      <c r="D79" s="7"/>
      <c r="E79" s="33"/>
      <c r="F79" s="8" t="str">
        <f>IF(ISBLANK(E79), "", VLOOKUP(E79, Z!$A$2:$C$4127, 3, FALSE))</f>
        <v/>
      </c>
      <c r="G79" s="44"/>
      <c r="H79" s="44"/>
      <c r="I79" s="107"/>
      <c r="J79" s="108"/>
      <c r="K79" s="34"/>
      <c r="L79" s="59"/>
      <c r="M79" s="58" t="str" cm="1">
        <f t="array" ref="M79">IF($K79&gt;0, INDEX(Clean,1+AG79,$B$1), "")</f>
        <v/>
      </c>
      <c r="N79" s="62"/>
      <c r="O79" s="62"/>
      <c r="P79" s="63"/>
      <c r="Q79" s="52">
        <f t="shared" si="50"/>
        <v>0</v>
      </c>
      <c r="R79" s="58" t="str" cm="1">
        <f t="array" ref="R79">IF($K79&gt;0, INDEX(Clean,1+AH79,$B$1), "")</f>
        <v/>
      </c>
      <c r="S79" s="62"/>
      <c r="T79" s="62"/>
      <c r="U79" s="63"/>
      <c r="V79" s="52">
        <f t="shared" si="51"/>
        <v>0</v>
      </c>
      <c r="W79" s="6"/>
      <c r="X79" s="7"/>
      <c r="Y79" s="33"/>
      <c r="Z79" s="8" t="str">
        <f>IF(ISBLANK(Y79), "", VLOOKUP(Y79, Z!$A$2:$C$4127, 3, FALSE))</f>
        <v/>
      </c>
      <c r="AA79" s="38"/>
      <c r="AB79" s="9">
        <f t="shared" si="45"/>
        <v>0</v>
      </c>
      <c r="AC79" s="20"/>
      <c r="AD79" s="41">
        <f t="shared" si="46"/>
        <v>1</v>
      </c>
      <c r="AE79" s="41">
        <f t="shared" si="47"/>
        <v>1</v>
      </c>
      <c r="AF79" s="41">
        <f t="shared" si="48"/>
        <v>0</v>
      </c>
      <c r="AG79" s="41">
        <v>1</v>
      </c>
      <c r="AH79" s="41">
        <v>0</v>
      </c>
      <c r="AI79" s="41">
        <f t="shared" si="49"/>
        <v>-100</v>
      </c>
      <c r="AJ79" s="20"/>
      <c r="AK79" s="45"/>
      <c r="AL79" s="45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15"/>
      <c r="AY79" s="41" cm="1">
        <f t="array" ref="AY79">INDEX(Use, $AD79, 4)</f>
        <v>7</v>
      </c>
      <c r="AZ79" s="41">
        <f t="shared" si="52"/>
        <v>32</v>
      </c>
      <c r="BA79" s="41">
        <f t="shared" si="53"/>
        <v>13</v>
      </c>
      <c r="BB79" s="41">
        <f t="shared" si="54"/>
        <v>0</v>
      </c>
      <c r="BC79" s="57" cm="1">
        <f t="array" ref="BC79">K79/IF($L79&gt;0, INDEX($AO$12:$AU$66, $L79+20, $AD79), 1)</f>
        <v>0</v>
      </c>
      <c r="BD79" s="46">
        <f t="shared" si="55"/>
        <v>0</v>
      </c>
      <c r="BE79" s="41">
        <v>35</v>
      </c>
      <c r="BF79" s="46">
        <f t="shared" si="56"/>
        <v>52.55</v>
      </c>
      <c r="BG79" s="49">
        <f t="shared" si="57"/>
        <v>2.7676728869374316</v>
      </c>
      <c r="BH79" s="49" cm="1">
        <f t="array" ref="BH79">$BC79 * SUMPRODUCT(INDEX($AL$66:$AN$71,,$AE79),INDEX($AO$66:$AU$71,,$AD79), N($AK$66:$AK$71&gt;$AI79)) / BG79 / 1000</f>
        <v>0</v>
      </c>
      <c r="BI79" s="50">
        <f t="shared" si="58"/>
        <v>30</v>
      </c>
      <c r="BJ79" s="46">
        <f t="shared" si="59"/>
        <v>46.033333333333331</v>
      </c>
      <c r="BK79" s="49">
        <f t="shared" si="60"/>
        <v>3.2297395388556791</v>
      </c>
      <c r="BL79" s="49" cm="1">
        <f t="array" ref="BL79">$BC79 * IF($AD79&lt;=2,
SUMPRODUCT(INDEX($AL$61:$AN$65,,$AE79), INDEX($AO$61:$AU$65,,$AD79), 1 / ($AV$61:$AV$65*BK79 + (1-$AV$61:$AV$65)*BG79), N($AK$61:$AK$65&gt;$AI79)),
SUMPRODUCT(INDEX($AL$56:$AN$65,,$AE79), INDEX($AO$56:$AU$65,,$AD79), 1 / ($AW$56:$AW$65*BK79 + (1-$AW$56:$AW$65)*BG79), N($AK$56:$AK$65&gt;$AI79))
) / 1000</f>
        <v>0</v>
      </c>
      <c r="BM79" s="50">
        <f t="shared" si="61"/>
        <v>25</v>
      </c>
      <c r="BN79" s="46">
        <f t="shared" si="62"/>
        <v>39.516666666666666</v>
      </c>
      <c r="BO79" s="49">
        <f t="shared" si="63"/>
        <v>3.877011788826243</v>
      </c>
      <c r="BP79" s="49" cm="1">
        <f t="array" ref="BP79">$BC79 * IF($AD79&lt;=2,
SUMPRODUCT(INDEX($AL$56:$AN$60,,$AE79), INDEX($AO$56:$AU$60,,$AD79), 1 / ($AV$56:$AV$60*BO79 + (1-$AV$56:$AV$60)*BK79), N($AK$56:$AK$60&gt;$AI79)),
SUMPRODUCT(INDEX($AL$46:$AN$55,,$AE79), INDEX($AO$46:$AU$55,,$AD79), 1 / ($AW$46:$AW$55*BO79 + (1-$AW$46:$AW$55)*BK79), N($AK$46:$AK$55&gt;$AI79))
) / 1000</f>
        <v>0</v>
      </c>
      <c r="BQ79" s="50">
        <f t="shared" si="64"/>
        <v>20</v>
      </c>
      <c r="BR79" s="46">
        <f t="shared" si="65"/>
        <v>33</v>
      </c>
      <c r="BS79" s="49">
        <f t="shared" si="66"/>
        <v>4.8487499999999999</v>
      </c>
      <c r="BT79" s="49" cm="1">
        <f t="array" ref="BT79">$BC79 * IF($AD79&lt;=2,
SUMPRODUCT(INDEX($AL$51:$AN$55,,$AE79), INDEX($AO$51:$AU$55,,$AD79), 1 / ($AV$51:$AV$55*BS79 + (1-$AV$51:$AV$55)*BO79), N($AK$51:$AK$55&gt;$AI79)),
SUMPRODUCT(INDEX($AL$36:$AN$45,,$AE79), INDEX($AO$36:$AU$45,,$AD79), 1 / ($AW$36:$AW$45*BS79 + (1-$AW$36:$AW$45)*BO79), N($AK$36:$AK$45&gt;$AI79))
) / 1000</f>
        <v>0</v>
      </c>
      <c r="BU79" s="49" cm="1">
        <f t="array" ref="BU79">$BC79 * IF($AD79&lt;=2,
SUMPRODUCT(INDEX($AL$12:$AN$50,,$AE79), INDEX($AO$12:$AU$50,,$AD79), 1 / ($AV$12:$AV$50*BS79), N($AK$12:$AK$50&gt;$AI79)),
SUMPRODUCT(INDEX($AL$12:$AN$35,,$AE79), INDEX($AO$12:$AU$35,,$AD79), 1 / ($AW$12:$AW$35*BS79), N($AK$12:$AK$35&gt;$AI79))
) / 1000</f>
        <v>0</v>
      </c>
      <c r="BV79" s="46">
        <f t="shared" si="67"/>
        <v>0</v>
      </c>
      <c r="BW79" s="20"/>
      <c r="BX79" s="46">
        <f t="shared" si="68"/>
        <v>0</v>
      </c>
      <c r="BY79" s="41">
        <v>35</v>
      </c>
      <c r="BZ79" s="46">
        <f t="shared" si="69"/>
        <v>48</v>
      </c>
      <c r="CA79" s="49">
        <f t="shared" si="70"/>
        <v>3.0748170731707316</v>
      </c>
      <c r="CB79" s="49" cm="1">
        <f t="array" ref="CB79">$BC79 * SUMPRODUCT(INDEX($AL$66:$AN$71,,$AE79),INDEX($AO$66:$AU$71,,$AD79), N($AK$66:$AK$71&gt;$AI79)) / CA79 / 1000</f>
        <v>0</v>
      </c>
      <c r="CC79" s="50">
        <f t="shared" si="71"/>
        <v>30</v>
      </c>
      <c r="CD79" s="46">
        <f t="shared" si="72"/>
        <v>43</v>
      </c>
      <c r="CE79" s="49">
        <f t="shared" si="73"/>
        <v>3.5018750000000001</v>
      </c>
      <c r="CF79" s="49" cm="1">
        <f t="array" ref="CF79">$BC79 * IF($AD79&lt;=2,
SUMPRODUCT(INDEX($AL$61:$AN$65,,$AE79), INDEX($AO$61:$AU$65,,$AD79), 1 / ($AV$61:$AV$65*CE79 + (1-$AV$61:$AV$65)*CA79), N($AK$61:$AK$65&gt;$AI79)),
SUMPRODUCT(INDEX($AL$56:$AN$65,,$AE79), INDEX($AO$56:$AU$65,,$AD79), 1 / ($AW$56:$AW$65*CE79 + (1-$AW$56:$AW$65)*CA79), N($AK$56:$AK$65&gt;$AI79))
) / 1000</f>
        <v>0</v>
      </c>
      <c r="CG79" s="50">
        <f t="shared" si="74"/>
        <v>25</v>
      </c>
      <c r="CH79" s="46">
        <f t="shared" si="75"/>
        <v>38</v>
      </c>
      <c r="CI79" s="49">
        <f t="shared" si="76"/>
        <v>4.0666935483870965</v>
      </c>
      <c r="CJ79" s="49" cm="1">
        <f t="array" ref="CJ79">$BC79 * IF($AD79&lt;=2,
SUMPRODUCT(INDEX($AL$56:$AN$60,,$AE79), INDEX($AO$56:$AU$60,,$AD79), 1 / ($AV$56:$AV$60*CI79 + (1-$AV$56:$AV$60)*CE79), N($AK$56:$AK$60&gt;$AI79)),
SUMPRODUCT(INDEX($AL$46:$AN$55,,$AE79), INDEX($AO$46:$AU$55,,$AD79), 1 / ($AW$46:$AW$55*CI79 + (1-$AW$46:$AW$55)*CE79), N($AK$46:$AK$55&gt;$AI79))
) / 1000</f>
        <v>0</v>
      </c>
      <c r="CK79" s="50">
        <f t="shared" si="77"/>
        <v>20</v>
      </c>
      <c r="CL79" s="46">
        <f t="shared" si="78"/>
        <v>33</v>
      </c>
      <c r="CM79" s="49">
        <f t="shared" si="79"/>
        <v>4.8487499999999999</v>
      </c>
      <c r="CN79" s="49" cm="1">
        <f t="array" ref="CN79">$BC79 * IF($AD79&lt;=2,
SUMPRODUCT(INDEX($AL$51:$AN$55,,$AE79), INDEX($AO$51:$AU$55,,$AD79), 1 / ($AV$51:$AV$55*CM79 + (1-$AV$51:$AV$55)*CI79), N($AK$51:$AK$55&gt;$AI79)),
SUMPRODUCT(INDEX($AL$36:$AN$45,,$AE79), INDEX($AO$36:$AU$45,,$AD79), 1 / ($AW$36:$AW$45*CM79 + (1-$AW$36:$AW$45)*CI79), N($AK$36:$AK$45&gt;$AI79))
) / 1000</f>
        <v>0</v>
      </c>
      <c r="CO79" s="49" cm="1">
        <f t="array" ref="CO79">$BC79 * IF($AD79&lt;=2,
SUMPRODUCT(INDEX($AL$12:$AN$50,,$AE79), INDEX($AO$12:$AU$50,,$AD79), 1 / ($AV$12:$AV$50*CM79), N($AK$12:$AK$50&gt;$AI79)),
SUMPRODUCT(INDEX($AL$12:$AN$35,,$AE79), INDEX($AO$12:$AU$35,,$AD79), 1 / ($AW$12:$AW$35*CM79), N($AK$12:$AK$35&gt;$AI79))
) / 1000</f>
        <v>0</v>
      </c>
      <c r="CP79" s="46">
        <f t="shared" si="80"/>
        <v>0</v>
      </c>
      <c r="CQ79" s="20"/>
    </row>
    <row r="80" spans="1:95" s="95" customFormat="1" ht="14.25" customHeight="1" x14ac:dyDescent="0.25">
      <c r="A80" s="36" t="b">
        <f t="shared" si="44"/>
        <v>0</v>
      </c>
      <c r="B80" s="94">
        <v>69</v>
      </c>
      <c r="C80" s="7"/>
      <c r="D80" s="7"/>
      <c r="E80" s="33"/>
      <c r="F80" s="8" t="str">
        <f>IF(ISBLANK(E80), "", VLOOKUP(E80, Z!$A$2:$C$4127, 3, FALSE))</f>
        <v/>
      </c>
      <c r="G80" s="44"/>
      <c r="H80" s="44"/>
      <c r="I80" s="107"/>
      <c r="J80" s="108"/>
      <c r="K80" s="34"/>
      <c r="L80" s="59"/>
      <c r="M80" s="58" t="str" cm="1">
        <f t="array" ref="M80">IF($K80&gt;0, INDEX(Clean,1+AG80,$B$1), "")</f>
        <v/>
      </c>
      <c r="N80" s="62"/>
      <c r="O80" s="62"/>
      <c r="P80" s="63"/>
      <c r="Q80" s="52">
        <f t="shared" si="50"/>
        <v>0</v>
      </c>
      <c r="R80" s="58" t="str" cm="1">
        <f t="array" ref="R80">IF($K80&gt;0, INDEX(Clean,1+AH80,$B$1), "")</f>
        <v/>
      </c>
      <c r="S80" s="62"/>
      <c r="T80" s="62"/>
      <c r="U80" s="63"/>
      <c r="V80" s="52">
        <f t="shared" si="51"/>
        <v>0</v>
      </c>
      <c r="W80" s="6"/>
      <c r="X80" s="7"/>
      <c r="Y80" s="33"/>
      <c r="Z80" s="8" t="str">
        <f>IF(ISBLANK(Y80), "", VLOOKUP(Y80, Z!$A$2:$C$4127, 3, FALSE))</f>
        <v/>
      </c>
      <c r="AA80" s="38"/>
      <c r="AB80" s="9">
        <f t="shared" si="45"/>
        <v>0</v>
      </c>
      <c r="AC80" s="20"/>
      <c r="AD80" s="41">
        <f t="shared" si="46"/>
        <v>1</v>
      </c>
      <c r="AE80" s="41">
        <f t="shared" si="47"/>
        <v>1</v>
      </c>
      <c r="AF80" s="41">
        <f t="shared" si="48"/>
        <v>0</v>
      </c>
      <c r="AG80" s="41">
        <v>1</v>
      </c>
      <c r="AH80" s="41">
        <v>0</v>
      </c>
      <c r="AI80" s="41">
        <f t="shared" si="49"/>
        <v>-100</v>
      </c>
      <c r="AJ80" s="20"/>
      <c r="AK80" s="45"/>
      <c r="AL80" s="45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15"/>
      <c r="AY80" s="41" cm="1">
        <f t="array" ref="AY80">INDEX(Use, $AD80, 4)</f>
        <v>7</v>
      </c>
      <c r="AZ80" s="41">
        <f t="shared" si="52"/>
        <v>32</v>
      </c>
      <c r="BA80" s="41">
        <f t="shared" si="53"/>
        <v>13</v>
      </c>
      <c r="BB80" s="41">
        <f t="shared" si="54"/>
        <v>0</v>
      </c>
      <c r="BC80" s="57" cm="1">
        <f t="array" ref="BC80">K80/IF($L80&gt;0, INDEX($AO$12:$AU$66, $L80+20, $AD80), 1)</f>
        <v>0</v>
      </c>
      <c r="BD80" s="46">
        <f t="shared" si="55"/>
        <v>0</v>
      </c>
      <c r="BE80" s="41">
        <v>35</v>
      </c>
      <c r="BF80" s="46">
        <f t="shared" si="56"/>
        <v>52.55</v>
      </c>
      <c r="BG80" s="49">
        <f t="shared" si="57"/>
        <v>2.7676728869374316</v>
      </c>
      <c r="BH80" s="49" cm="1">
        <f t="array" ref="BH80">$BC80 * SUMPRODUCT(INDEX($AL$66:$AN$71,,$AE80),INDEX($AO$66:$AU$71,,$AD80), N($AK$66:$AK$71&gt;$AI80)) / BG80 / 1000</f>
        <v>0</v>
      </c>
      <c r="BI80" s="50">
        <f t="shared" si="58"/>
        <v>30</v>
      </c>
      <c r="BJ80" s="46">
        <f t="shared" si="59"/>
        <v>46.033333333333331</v>
      </c>
      <c r="BK80" s="49">
        <f t="shared" si="60"/>
        <v>3.2297395388556791</v>
      </c>
      <c r="BL80" s="49" cm="1">
        <f t="array" ref="BL80">$BC80 * IF($AD80&lt;=2,
SUMPRODUCT(INDEX($AL$61:$AN$65,,$AE80), INDEX($AO$61:$AU$65,,$AD80), 1 / ($AV$61:$AV$65*BK80 + (1-$AV$61:$AV$65)*BG80), N($AK$61:$AK$65&gt;$AI80)),
SUMPRODUCT(INDEX($AL$56:$AN$65,,$AE80), INDEX($AO$56:$AU$65,,$AD80), 1 / ($AW$56:$AW$65*BK80 + (1-$AW$56:$AW$65)*BG80), N($AK$56:$AK$65&gt;$AI80))
) / 1000</f>
        <v>0</v>
      </c>
      <c r="BM80" s="50">
        <f t="shared" si="61"/>
        <v>25</v>
      </c>
      <c r="BN80" s="46">
        <f t="shared" si="62"/>
        <v>39.516666666666666</v>
      </c>
      <c r="BO80" s="49">
        <f t="shared" si="63"/>
        <v>3.877011788826243</v>
      </c>
      <c r="BP80" s="49" cm="1">
        <f t="array" ref="BP80">$BC80 * IF($AD80&lt;=2,
SUMPRODUCT(INDEX($AL$56:$AN$60,,$AE80), INDEX($AO$56:$AU$60,,$AD80), 1 / ($AV$56:$AV$60*BO80 + (1-$AV$56:$AV$60)*BK80), N($AK$56:$AK$60&gt;$AI80)),
SUMPRODUCT(INDEX($AL$46:$AN$55,,$AE80), INDEX($AO$46:$AU$55,,$AD80), 1 / ($AW$46:$AW$55*BO80 + (1-$AW$46:$AW$55)*BK80), N($AK$46:$AK$55&gt;$AI80))
) / 1000</f>
        <v>0</v>
      </c>
      <c r="BQ80" s="50">
        <f t="shared" si="64"/>
        <v>20</v>
      </c>
      <c r="BR80" s="46">
        <f t="shared" si="65"/>
        <v>33</v>
      </c>
      <c r="BS80" s="49">
        <f t="shared" si="66"/>
        <v>4.8487499999999999</v>
      </c>
      <c r="BT80" s="49" cm="1">
        <f t="array" ref="BT80">$BC80 * IF($AD80&lt;=2,
SUMPRODUCT(INDEX($AL$51:$AN$55,,$AE80), INDEX($AO$51:$AU$55,,$AD80), 1 / ($AV$51:$AV$55*BS80 + (1-$AV$51:$AV$55)*BO80), N($AK$51:$AK$55&gt;$AI80)),
SUMPRODUCT(INDEX($AL$36:$AN$45,,$AE80), INDEX($AO$36:$AU$45,,$AD80), 1 / ($AW$36:$AW$45*BS80 + (1-$AW$36:$AW$45)*BO80), N($AK$36:$AK$45&gt;$AI80))
) / 1000</f>
        <v>0</v>
      </c>
      <c r="BU80" s="49" cm="1">
        <f t="array" ref="BU80">$BC80 * IF($AD80&lt;=2,
SUMPRODUCT(INDEX($AL$12:$AN$50,,$AE80), INDEX($AO$12:$AU$50,,$AD80), 1 / ($AV$12:$AV$50*BS80), N($AK$12:$AK$50&gt;$AI80)),
SUMPRODUCT(INDEX($AL$12:$AN$35,,$AE80), INDEX($AO$12:$AU$35,,$AD80), 1 / ($AW$12:$AW$35*BS80), N($AK$12:$AK$35&gt;$AI80))
) / 1000</f>
        <v>0</v>
      </c>
      <c r="BV80" s="46">
        <f t="shared" si="67"/>
        <v>0</v>
      </c>
      <c r="BW80" s="20"/>
      <c r="BX80" s="46">
        <f t="shared" si="68"/>
        <v>0</v>
      </c>
      <c r="BY80" s="41">
        <v>35</v>
      </c>
      <c r="BZ80" s="46">
        <f t="shared" si="69"/>
        <v>48</v>
      </c>
      <c r="CA80" s="49">
        <f t="shared" si="70"/>
        <v>3.0748170731707316</v>
      </c>
      <c r="CB80" s="49" cm="1">
        <f t="array" ref="CB80">$BC80 * SUMPRODUCT(INDEX($AL$66:$AN$71,,$AE80),INDEX($AO$66:$AU$71,,$AD80), N($AK$66:$AK$71&gt;$AI80)) / CA80 / 1000</f>
        <v>0</v>
      </c>
      <c r="CC80" s="50">
        <f t="shared" si="71"/>
        <v>30</v>
      </c>
      <c r="CD80" s="46">
        <f t="shared" si="72"/>
        <v>43</v>
      </c>
      <c r="CE80" s="49">
        <f t="shared" si="73"/>
        <v>3.5018750000000001</v>
      </c>
      <c r="CF80" s="49" cm="1">
        <f t="array" ref="CF80">$BC80 * IF($AD80&lt;=2,
SUMPRODUCT(INDEX($AL$61:$AN$65,,$AE80), INDEX($AO$61:$AU$65,,$AD80), 1 / ($AV$61:$AV$65*CE80 + (1-$AV$61:$AV$65)*CA80), N($AK$61:$AK$65&gt;$AI80)),
SUMPRODUCT(INDEX($AL$56:$AN$65,,$AE80), INDEX($AO$56:$AU$65,,$AD80), 1 / ($AW$56:$AW$65*CE80 + (1-$AW$56:$AW$65)*CA80), N($AK$56:$AK$65&gt;$AI80))
) / 1000</f>
        <v>0</v>
      </c>
      <c r="CG80" s="50">
        <f t="shared" si="74"/>
        <v>25</v>
      </c>
      <c r="CH80" s="46">
        <f t="shared" si="75"/>
        <v>38</v>
      </c>
      <c r="CI80" s="49">
        <f t="shared" si="76"/>
        <v>4.0666935483870965</v>
      </c>
      <c r="CJ80" s="49" cm="1">
        <f t="array" ref="CJ80">$BC80 * IF($AD80&lt;=2,
SUMPRODUCT(INDEX($AL$56:$AN$60,,$AE80), INDEX($AO$56:$AU$60,,$AD80), 1 / ($AV$56:$AV$60*CI80 + (1-$AV$56:$AV$60)*CE80), N($AK$56:$AK$60&gt;$AI80)),
SUMPRODUCT(INDEX($AL$46:$AN$55,,$AE80), INDEX($AO$46:$AU$55,,$AD80), 1 / ($AW$46:$AW$55*CI80 + (1-$AW$46:$AW$55)*CE80), N($AK$46:$AK$55&gt;$AI80))
) / 1000</f>
        <v>0</v>
      </c>
      <c r="CK80" s="50">
        <f t="shared" si="77"/>
        <v>20</v>
      </c>
      <c r="CL80" s="46">
        <f t="shared" si="78"/>
        <v>33</v>
      </c>
      <c r="CM80" s="49">
        <f t="shared" si="79"/>
        <v>4.8487499999999999</v>
      </c>
      <c r="CN80" s="49" cm="1">
        <f t="array" ref="CN80">$BC80 * IF($AD80&lt;=2,
SUMPRODUCT(INDEX($AL$51:$AN$55,,$AE80), INDEX($AO$51:$AU$55,,$AD80), 1 / ($AV$51:$AV$55*CM80 + (1-$AV$51:$AV$55)*CI80), N($AK$51:$AK$55&gt;$AI80)),
SUMPRODUCT(INDEX($AL$36:$AN$45,,$AE80), INDEX($AO$36:$AU$45,,$AD80), 1 / ($AW$36:$AW$45*CM80 + (1-$AW$36:$AW$45)*CI80), N($AK$36:$AK$45&gt;$AI80))
) / 1000</f>
        <v>0</v>
      </c>
      <c r="CO80" s="49" cm="1">
        <f t="array" ref="CO80">$BC80 * IF($AD80&lt;=2,
SUMPRODUCT(INDEX($AL$12:$AN$50,,$AE80), INDEX($AO$12:$AU$50,,$AD80), 1 / ($AV$12:$AV$50*CM80), N($AK$12:$AK$50&gt;$AI80)),
SUMPRODUCT(INDEX($AL$12:$AN$35,,$AE80), INDEX($AO$12:$AU$35,,$AD80), 1 / ($AW$12:$AW$35*CM80), N($AK$12:$AK$35&gt;$AI80))
) / 1000</f>
        <v>0</v>
      </c>
      <c r="CP80" s="46">
        <f t="shared" si="80"/>
        <v>0</v>
      </c>
      <c r="CQ80" s="20"/>
    </row>
    <row r="81" spans="1:95" s="95" customFormat="1" ht="14.25" customHeight="1" x14ac:dyDescent="0.25">
      <c r="A81" s="36" t="b">
        <f t="shared" si="44"/>
        <v>0</v>
      </c>
      <c r="B81" s="94">
        <v>70</v>
      </c>
      <c r="C81" s="7"/>
      <c r="D81" s="7"/>
      <c r="E81" s="33"/>
      <c r="F81" s="8" t="str">
        <f>IF(ISBLANK(E81), "", VLOOKUP(E81, Z!$A$2:$C$4127, 3, FALSE))</f>
        <v/>
      </c>
      <c r="G81" s="44"/>
      <c r="H81" s="44"/>
      <c r="I81" s="107"/>
      <c r="J81" s="108"/>
      <c r="K81" s="34"/>
      <c r="L81" s="59"/>
      <c r="M81" s="58" t="str" cm="1">
        <f t="array" ref="M81">IF($K81&gt;0, INDEX(Clean,1+AG81,$B$1), "")</f>
        <v/>
      </c>
      <c r="N81" s="62"/>
      <c r="O81" s="62"/>
      <c r="P81" s="63"/>
      <c r="Q81" s="52">
        <f t="shared" si="50"/>
        <v>0</v>
      </c>
      <c r="R81" s="58" t="str" cm="1">
        <f t="array" ref="R81">IF($K81&gt;0, INDEX(Clean,1+AH81,$B$1), "")</f>
        <v/>
      </c>
      <c r="S81" s="62"/>
      <c r="T81" s="62"/>
      <c r="U81" s="63"/>
      <c r="V81" s="52">
        <f t="shared" si="51"/>
        <v>0</v>
      </c>
      <c r="W81" s="6"/>
      <c r="X81" s="7"/>
      <c r="Y81" s="33"/>
      <c r="Z81" s="8" t="str">
        <f>IF(ISBLANK(Y81), "", VLOOKUP(Y81, Z!$A$2:$C$4127, 3, FALSE))</f>
        <v/>
      </c>
      <c r="AA81" s="38"/>
      <c r="AB81" s="9">
        <f t="shared" si="45"/>
        <v>0</v>
      </c>
      <c r="AC81" s="20"/>
      <c r="AD81" s="41">
        <f t="shared" si="46"/>
        <v>1</v>
      </c>
      <c r="AE81" s="41">
        <f t="shared" si="47"/>
        <v>1</v>
      </c>
      <c r="AF81" s="41">
        <f t="shared" si="48"/>
        <v>0</v>
      </c>
      <c r="AG81" s="41">
        <v>1</v>
      </c>
      <c r="AH81" s="41">
        <v>0</v>
      </c>
      <c r="AI81" s="41">
        <f t="shared" si="49"/>
        <v>-100</v>
      </c>
      <c r="AJ81" s="20"/>
      <c r="AK81" s="45"/>
      <c r="AL81" s="45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15"/>
      <c r="AY81" s="41" cm="1">
        <f t="array" ref="AY81">INDEX(Use, $AD81, 4)</f>
        <v>7</v>
      </c>
      <c r="AZ81" s="41">
        <f t="shared" si="52"/>
        <v>32</v>
      </c>
      <c r="BA81" s="41">
        <f t="shared" si="53"/>
        <v>13</v>
      </c>
      <c r="BB81" s="41">
        <f t="shared" si="54"/>
        <v>0</v>
      </c>
      <c r="BC81" s="57" cm="1">
        <f t="array" ref="BC81">K81/IF($L81&gt;0, INDEX($AO$12:$AU$66, $L81+20, $AD81), 1)</f>
        <v>0</v>
      </c>
      <c r="BD81" s="46">
        <f t="shared" si="55"/>
        <v>0</v>
      </c>
      <c r="BE81" s="41">
        <v>35</v>
      </c>
      <c r="BF81" s="46">
        <f t="shared" si="56"/>
        <v>52.55</v>
      </c>
      <c r="BG81" s="49">
        <f t="shared" si="57"/>
        <v>2.7676728869374316</v>
      </c>
      <c r="BH81" s="49" cm="1">
        <f t="array" ref="BH81">$BC81 * SUMPRODUCT(INDEX($AL$66:$AN$71,,$AE81),INDEX($AO$66:$AU$71,,$AD81), N($AK$66:$AK$71&gt;$AI81)) / BG81 / 1000</f>
        <v>0</v>
      </c>
      <c r="BI81" s="50">
        <f t="shared" si="58"/>
        <v>30</v>
      </c>
      <c r="BJ81" s="46">
        <f t="shared" si="59"/>
        <v>46.033333333333331</v>
      </c>
      <c r="BK81" s="49">
        <f t="shared" si="60"/>
        <v>3.2297395388556791</v>
      </c>
      <c r="BL81" s="49" cm="1">
        <f t="array" ref="BL81">$BC81 * IF($AD81&lt;=2,
SUMPRODUCT(INDEX($AL$61:$AN$65,,$AE81), INDEX($AO$61:$AU$65,,$AD81), 1 / ($AV$61:$AV$65*BK81 + (1-$AV$61:$AV$65)*BG81), N($AK$61:$AK$65&gt;$AI81)),
SUMPRODUCT(INDEX($AL$56:$AN$65,,$AE81), INDEX($AO$56:$AU$65,,$AD81), 1 / ($AW$56:$AW$65*BK81 + (1-$AW$56:$AW$65)*BG81), N($AK$56:$AK$65&gt;$AI81))
) / 1000</f>
        <v>0</v>
      </c>
      <c r="BM81" s="50">
        <f t="shared" si="61"/>
        <v>25</v>
      </c>
      <c r="BN81" s="46">
        <f t="shared" si="62"/>
        <v>39.516666666666666</v>
      </c>
      <c r="BO81" s="49">
        <f t="shared" si="63"/>
        <v>3.877011788826243</v>
      </c>
      <c r="BP81" s="49" cm="1">
        <f t="array" ref="BP81">$BC81 * IF($AD81&lt;=2,
SUMPRODUCT(INDEX($AL$56:$AN$60,,$AE81), INDEX($AO$56:$AU$60,,$AD81), 1 / ($AV$56:$AV$60*BO81 + (1-$AV$56:$AV$60)*BK81), N($AK$56:$AK$60&gt;$AI81)),
SUMPRODUCT(INDEX($AL$46:$AN$55,,$AE81), INDEX($AO$46:$AU$55,,$AD81), 1 / ($AW$46:$AW$55*BO81 + (1-$AW$46:$AW$55)*BK81), N($AK$46:$AK$55&gt;$AI81))
) / 1000</f>
        <v>0</v>
      </c>
      <c r="BQ81" s="50">
        <f t="shared" si="64"/>
        <v>20</v>
      </c>
      <c r="BR81" s="46">
        <f t="shared" si="65"/>
        <v>33</v>
      </c>
      <c r="BS81" s="49">
        <f t="shared" si="66"/>
        <v>4.8487499999999999</v>
      </c>
      <c r="BT81" s="49" cm="1">
        <f t="array" ref="BT81">$BC81 * IF($AD81&lt;=2,
SUMPRODUCT(INDEX($AL$51:$AN$55,,$AE81), INDEX($AO$51:$AU$55,,$AD81), 1 / ($AV$51:$AV$55*BS81 + (1-$AV$51:$AV$55)*BO81), N($AK$51:$AK$55&gt;$AI81)),
SUMPRODUCT(INDEX($AL$36:$AN$45,,$AE81), INDEX($AO$36:$AU$45,,$AD81), 1 / ($AW$36:$AW$45*BS81 + (1-$AW$36:$AW$45)*BO81), N($AK$36:$AK$45&gt;$AI81))
) / 1000</f>
        <v>0</v>
      </c>
      <c r="BU81" s="49" cm="1">
        <f t="array" ref="BU81">$BC81 * IF($AD81&lt;=2,
SUMPRODUCT(INDEX($AL$12:$AN$50,,$AE81), INDEX($AO$12:$AU$50,,$AD81), 1 / ($AV$12:$AV$50*BS81), N($AK$12:$AK$50&gt;$AI81)),
SUMPRODUCT(INDEX($AL$12:$AN$35,,$AE81), INDEX($AO$12:$AU$35,,$AD81), 1 / ($AW$12:$AW$35*BS81), N($AK$12:$AK$35&gt;$AI81))
) / 1000</f>
        <v>0</v>
      </c>
      <c r="BV81" s="46">
        <f t="shared" si="67"/>
        <v>0</v>
      </c>
      <c r="BW81" s="20"/>
      <c r="BX81" s="46">
        <f t="shared" si="68"/>
        <v>0</v>
      </c>
      <c r="BY81" s="41">
        <v>35</v>
      </c>
      <c r="BZ81" s="46">
        <f t="shared" si="69"/>
        <v>48</v>
      </c>
      <c r="CA81" s="49">
        <f t="shared" si="70"/>
        <v>3.0748170731707316</v>
      </c>
      <c r="CB81" s="49" cm="1">
        <f t="array" ref="CB81">$BC81 * SUMPRODUCT(INDEX($AL$66:$AN$71,,$AE81),INDEX($AO$66:$AU$71,,$AD81), N($AK$66:$AK$71&gt;$AI81)) / CA81 / 1000</f>
        <v>0</v>
      </c>
      <c r="CC81" s="50">
        <f t="shared" si="71"/>
        <v>30</v>
      </c>
      <c r="CD81" s="46">
        <f t="shared" si="72"/>
        <v>43</v>
      </c>
      <c r="CE81" s="49">
        <f t="shared" si="73"/>
        <v>3.5018750000000001</v>
      </c>
      <c r="CF81" s="49" cm="1">
        <f t="array" ref="CF81">$BC81 * IF($AD81&lt;=2,
SUMPRODUCT(INDEX($AL$61:$AN$65,,$AE81), INDEX($AO$61:$AU$65,,$AD81), 1 / ($AV$61:$AV$65*CE81 + (1-$AV$61:$AV$65)*CA81), N($AK$61:$AK$65&gt;$AI81)),
SUMPRODUCT(INDEX($AL$56:$AN$65,,$AE81), INDEX($AO$56:$AU$65,,$AD81), 1 / ($AW$56:$AW$65*CE81 + (1-$AW$56:$AW$65)*CA81), N($AK$56:$AK$65&gt;$AI81))
) / 1000</f>
        <v>0</v>
      </c>
      <c r="CG81" s="50">
        <f t="shared" si="74"/>
        <v>25</v>
      </c>
      <c r="CH81" s="46">
        <f t="shared" si="75"/>
        <v>38</v>
      </c>
      <c r="CI81" s="49">
        <f t="shared" si="76"/>
        <v>4.0666935483870965</v>
      </c>
      <c r="CJ81" s="49" cm="1">
        <f t="array" ref="CJ81">$BC81 * IF($AD81&lt;=2,
SUMPRODUCT(INDEX($AL$56:$AN$60,,$AE81), INDEX($AO$56:$AU$60,,$AD81), 1 / ($AV$56:$AV$60*CI81 + (1-$AV$56:$AV$60)*CE81), N($AK$56:$AK$60&gt;$AI81)),
SUMPRODUCT(INDEX($AL$46:$AN$55,,$AE81), INDEX($AO$46:$AU$55,,$AD81), 1 / ($AW$46:$AW$55*CI81 + (1-$AW$46:$AW$55)*CE81), N($AK$46:$AK$55&gt;$AI81))
) / 1000</f>
        <v>0</v>
      </c>
      <c r="CK81" s="50">
        <f t="shared" si="77"/>
        <v>20</v>
      </c>
      <c r="CL81" s="46">
        <f t="shared" si="78"/>
        <v>33</v>
      </c>
      <c r="CM81" s="49">
        <f t="shared" si="79"/>
        <v>4.8487499999999999</v>
      </c>
      <c r="CN81" s="49" cm="1">
        <f t="array" ref="CN81">$BC81 * IF($AD81&lt;=2,
SUMPRODUCT(INDEX($AL$51:$AN$55,,$AE81), INDEX($AO$51:$AU$55,,$AD81), 1 / ($AV$51:$AV$55*CM81 + (1-$AV$51:$AV$55)*CI81), N($AK$51:$AK$55&gt;$AI81)),
SUMPRODUCT(INDEX($AL$36:$AN$45,,$AE81), INDEX($AO$36:$AU$45,,$AD81), 1 / ($AW$36:$AW$45*CM81 + (1-$AW$36:$AW$45)*CI81), N($AK$36:$AK$45&gt;$AI81))
) / 1000</f>
        <v>0</v>
      </c>
      <c r="CO81" s="49" cm="1">
        <f t="array" ref="CO81">$BC81 * IF($AD81&lt;=2,
SUMPRODUCT(INDEX($AL$12:$AN$50,,$AE81), INDEX($AO$12:$AU$50,,$AD81), 1 / ($AV$12:$AV$50*CM81), N($AK$12:$AK$50&gt;$AI81)),
SUMPRODUCT(INDEX($AL$12:$AN$35,,$AE81), INDEX($AO$12:$AU$35,,$AD81), 1 / ($AW$12:$AW$35*CM81), N($AK$12:$AK$35&gt;$AI81))
) / 1000</f>
        <v>0</v>
      </c>
      <c r="CP81" s="46">
        <f t="shared" si="80"/>
        <v>0</v>
      </c>
      <c r="CQ81" s="20"/>
    </row>
    <row r="82" spans="1:95" s="95" customFormat="1" ht="14.25" customHeight="1" x14ac:dyDescent="0.25">
      <c r="A82" s="36" t="b">
        <f t="shared" si="44"/>
        <v>0</v>
      </c>
      <c r="B82" s="94">
        <v>71</v>
      </c>
      <c r="C82" s="7"/>
      <c r="D82" s="7"/>
      <c r="E82" s="33"/>
      <c r="F82" s="8" t="str">
        <f>IF(ISBLANK(E82), "", VLOOKUP(E82, Z!$A$2:$C$4127, 3, FALSE))</f>
        <v/>
      </c>
      <c r="G82" s="44"/>
      <c r="H82" s="44"/>
      <c r="I82" s="107"/>
      <c r="J82" s="108"/>
      <c r="K82" s="34"/>
      <c r="L82" s="59"/>
      <c r="M82" s="58" t="str" cm="1">
        <f t="array" ref="M82">IF($K82&gt;0, INDEX(Clean,1+AG82,$B$1), "")</f>
        <v/>
      </c>
      <c r="N82" s="62"/>
      <c r="O82" s="62"/>
      <c r="P82" s="63"/>
      <c r="Q82" s="52">
        <f t="shared" si="50"/>
        <v>0</v>
      </c>
      <c r="R82" s="58" t="str" cm="1">
        <f t="array" ref="R82">IF($K82&gt;0, INDEX(Clean,1+AH82,$B$1), "")</f>
        <v/>
      </c>
      <c r="S82" s="62"/>
      <c r="T82" s="62"/>
      <c r="U82" s="63"/>
      <c r="V82" s="52">
        <f t="shared" si="51"/>
        <v>0</v>
      </c>
      <c r="W82" s="6"/>
      <c r="X82" s="7"/>
      <c r="Y82" s="33"/>
      <c r="Z82" s="8" t="str">
        <f>IF(ISBLANK(Y82), "", VLOOKUP(Y82, Z!$A$2:$C$4127, 3, FALSE))</f>
        <v/>
      </c>
      <c r="AA82" s="38"/>
      <c r="AB82" s="9">
        <f t="shared" si="45"/>
        <v>0</v>
      </c>
      <c r="AC82" s="20"/>
      <c r="AD82" s="41">
        <f t="shared" si="46"/>
        <v>1</v>
      </c>
      <c r="AE82" s="41">
        <f t="shared" si="47"/>
        <v>1</v>
      </c>
      <c r="AF82" s="41">
        <f t="shared" si="48"/>
        <v>0</v>
      </c>
      <c r="AG82" s="41">
        <v>1</v>
      </c>
      <c r="AH82" s="41">
        <v>0</v>
      </c>
      <c r="AI82" s="41">
        <f t="shared" si="49"/>
        <v>-100</v>
      </c>
      <c r="AJ82" s="20"/>
      <c r="AK82" s="45"/>
      <c r="AL82" s="45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15"/>
      <c r="AY82" s="41" cm="1">
        <f t="array" ref="AY82">INDEX(Use, $AD82, 4)</f>
        <v>7</v>
      </c>
      <c r="AZ82" s="41">
        <f t="shared" si="52"/>
        <v>32</v>
      </c>
      <c r="BA82" s="41">
        <f t="shared" si="53"/>
        <v>13</v>
      </c>
      <c r="BB82" s="41">
        <f t="shared" si="54"/>
        <v>0</v>
      </c>
      <c r="BC82" s="57" cm="1">
        <f t="array" ref="BC82">K82/IF($L82&gt;0, INDEX($AO$12:$AU$66, $L82+20, $AD82), 1)</f>
        <v>0</v>
      </c>
      <c r="BD82" s="46">
        <f t="shared" si="55"/>
        <v>0</v>
      </c>
      <c r="BE82" s="41">
        <v>35</v>
      </c>
      <c r="BF82" s="46">
        <f t="shared" si="56"/>
        <v>52.55</v>
      </c>
      <c r="BG82" s="49">
        <f t="shared" si="57"/>
        <v>2.7676728869374316</v>
      </c>
      <c r="BH82" s="49" cm="1">
        <f t="array" ref="BH82">$BC82 * SUMPRODUCT(INDEX($AL$66:$AN$71,,$AE82),INDEX($AO$66:$AU$71,,$AD82), N($AK$66:$AK$71&gt;$AI82)) / BG82 / 1000</f>
        <v>0</v>
      </c>
      <c r="BI82" s="50">
        <f t="shared" si="58"/>
        <v>30</v>
      </c>
      <c r="BJ82" s="46">
        <f t="shared" si="59"/>
        <v>46.033333333333331</v>
      </c>
      <c r="BK82" s="49">
        <f t="shared" si="60"/>
        <v>3.2297395388556791</v>
      </c>
      <c r="BL82" s="49" cm="1">
        <f t="array" ref="BL82">$BC82 * IF($AD82&lt;=2,
SUMPRODUCT(INDEX($AL$61:$AN$65,,$AE82), INDEX($AO$61:$AU$65,,$AD82), 1 / ($AV$61:$AV$65*BK82 + (1-$AV$61:$AV$65)*BG82), N($AK$61:$AK$65&gt;$AI82)),
SUMPRODUCT(INDEX($AL$56:$AN$65,,$AE82), INDEX($AO$56:$AU$65,,$AD82), 1 / ($AW$56:$AW$65*BK82 + (1-$AW$56:$AW$65)*BG82), N($AK$56:$AK$65&gt;$AI82))
) / 1000</f>
        <v>0</v>
      </c>
      <c r="BM82" s="50">
        <f t="shared" si="61"/>
        <v>25</v>
      </c>
      <c r="BN82" s="46">
        <f t="shared" si="62"/>
        <v>39.516666666666666</v>
      </c>
      <c r="BO82" s="49">
        <f t="shared" si="63"/>
        <v>3.877011788826243</v>
      </c>
      <c r="BP82" s="49" cm="1">
        <f t="array" ref="BP82">$BC82 * IF($AD82&lt;=2,
SUMPRODUCT(INDEX($AL$56:$AN$60,,$AE82), INDEX($AO$56:$AU$60,,$AD82), 1 / ($AV$56:$AV$60*BO82 + (1-$AV$56:$AV$60)*BK82), N($AK$56:$AK$60&gt;$AI82)),
SUMPRODUCT(INDEX($AL$46:$AN$55,,$AE82), INDEX($AO$46:$AU$55,,$AD82), 1 / ($AW$46:$AW$55*BO82 + (1-$AW$46:$AW$55)*BK82), N($AK$46:$AK$55&gt;$AI82))
) / 1000</f>
        <v>0</v>
      </c>
      <c r="BQ82" s="50">
        <f t="shared" si="64"/>
        <v>20</v>
      </c>
      <c r="BR82" s="46">
        <f t="shared" si="65"/>
        <v>33</v>
      </c>
      <c r="BS82" s="49">
        <f t="shared" si="66"/>
        <v>4.8487499999999999</v>
      </c>
      <c r="BT82" s="49" cm="1">
        <f t="array" ref="BT82">$BC82 * IF($AD82&lt;=2,
SUMPRODUCT(INDEX($AL$51:$AN$55,,$AE82), INDEX($AO$51:$AU$55,,$AD82), 1 / ($AV$51:$AV$55*BS82 + (1-$AV$51:$AV$55)*BO82), N($AK$51:$AK$55&gt;$AI82)),
SUMPRODUCT(INDEX($AL$36:$AN$45,,$AE82), INDEX($AO$36:$AU$45,,$AD82), 1 / ($AW$36:$AW$45*BS82 + (1-$AW$36:$AW$45)*BO82), N($AK$36:$AK$45&gt;$AI82))
) / 1000</f>
        <v>0</v>
      </c>
      <c r="BU82" s="49" cm="1">
        <f t="array" ref="BU82">$BC82 * IF($AD82&lt;=2,
SUMPRODUCT(INDEX($AL$12:$AN$50,,$AE82), INDEX($AO$12:$AU$50,,$AD82), 1 / ($AV$12:$AV$50*BS82), N($AK$12:$AK$50&gt;$AI82)),
SUMPRODUCT(INDEX($AL$12:$AN$35,,$AE82), INDEX($AO$12:$AU$35,,$AD82), 1 / ($AW$12:$AW$35*BS82), N($AK$12:$AK$35&gt;$AI82))
) / 1000</f>
        <v>0</v>
      </c>
      <c r="BV82" s="46">
        <f t="shared" si="67"/>
        <v>0</v>
      </c>
      <c r="BW82" s="20"/>
      <c r="BX82" s="46">
        <f t="shared" si="68"/>
        <v>0</v>
      </c>
      <c r="BY82" s="41">
        <v>35</v>
      </c>
      <c r="BZ82" s="46">
        <f t="shared" si="69"/>
        <v>48</v>
      </c>
      <c r="CA82" s="49">
        <f t="shared" si="70"/>
        <v>3.0748170731707316</v>
      </c>
      <c r="CB82" s="49" cm="1">
        <f t="array" ref="CB82">$BC82 * SUMPRODUCT(INDEX($AL$66:$AN$71,,$AE82),INDEX($AO$66:$AU$71,,$AD82), N($AK$66:$AK$71&gt;$AI82)) / CA82 / 1000</f>
        <v>0</v>
      </c>
      <c r="CC82" s="50">
        <f t="shared" si="71"/>
        <v>30</v>
      </c>
      <c r="CD82" s="46">
        <f t="shared" si="72"/>
        <v>43</v>
      </c>
      <c r="CE82" s="49">
        <f t="shared" si="73"/>
        <v>3.5018750000000001</v>
      </c>
      <c r="CF82" s="49" cm="1">
        <f t="array" ref="CF82">$BC82 * IF($AD82&lt;=2,
SUMPRODUCT(INDEX($AL$61:$AN$65,,$AE82), INDEX($AO$61:$AU$65,,$AD82), 1 / ($AV$61:$AV$65*CE82 + (1-$AV$61:$AV$65)*CA82), N($AK$61:$AK$65&gt;$AI82)),
SUMPRODUCT(INDEX($AL$56:$AN$65,,$AE82), INDEX($AO$56:$AU$65,,$AD82), 1 / ($AW$56:$AW$65*CE82 + (1-$AW$56:$AW$65)*CA82), N($AK$56:$AK$65&gt;$AI82))
) / 1000</f>
        <v>0</v>
      </c>
      <c r="CG82" s="50">
        <f t="shared" si="74"/>
        <v>25</v>
      </c>
      <c r="CH82" s="46">
        <f t="shared" si="75"/>
        <v>38</v>
      </c>
      <c r="CI82" s="49">
        <f t="shared" si="76"/>
        <v>4.0666935483870965</v>
      </c>
      <c r="CJ82" s="49" cm="1">
        <f t="array" ref="CJ82">$BC82 * IF($AD82&lt;=2,
SUMPRODUCT(INDEX($AL$56:$AN$60,,$AE82), INDEX($AO$56:$AU$60,,$AD82), 1 / ($AV$56:$AV$60*CI82 + (1-$AV$56:$AV$60)*CE82), N($AK$56:$AK$60&gt;$AI82)),
SUMPRODUCT(INDEX($AL$46:$AN$55,,$AE82), INDEX($AO$46:$AU$55,,$AD82), 1 / ($AW$46:$AW$55*CI82 + (1-$AW$46:$AW$55)*CE82), N($AK$46:$AK$55&gt;$AI82))
) / 1000</f>
        <v>0</v>
      </c>
      <c r="CK82" s="50">
        <f t="shared" si="77"/>
        <v>20</v>
      </c>
      <c r="CL82" s="46">
        <f t="shared" si="78"/>
        <v>33</v>
      </c>
      <c r="CM82" s="49">
        <f t="shared" si="79"/>
        <v>4.8487499999999999</v>
      </c>
      <c r="CN82" s="49" cm="1">
        <f t="array" ref="CN82">$BC82 * IF($AD82&lt;=2,
SUMPRODUCT(INDEX($AL$51:$AN$55,,$AE82), INDEX($AO$51:$AU$55,,$AD82), 1 / ($AV$51:$AV$55*CM82 + (1-$AV$51:$AV$55)*CI82), N($AK$51:$AK$55&gt;$AI82)),
SUMPRODUCT(INDEX($AL$36:$AN$45,,$AE82), INDEX($AO$36:$AU$45,,$AD82), 1 / ($AW$36:$AW$45*CM82 + (1-$AW$36:$AW$45)*CI82), N($AK$36:$AK$45&gt;$AI82))
) / 1000</f>
        <v>0</v>
      </c>
      <c r="CO82" s="49" cm="1">
        <f t="array" ref="CO82">$BC82 * IF($AD82&lt;=2,
SUMPRODUCT(INDEX($AL$12:$AN$50,,$AE82), INDEX($AO$12:$AU$50,,$AD82), 1 / ($AV$12:$AV$50*CM82), N($AK$12:$AK$50&gt;$AI82)),
SUMPRODUCT(INDEX($AL$12:$AN$35,,$AE82), INDEX($AO$12:$AU$35,,$AD82), 1 / ($AW$12:$AW$35*CM82), N($AK$12:$AK$35&gt;$AI82))
) / 1000</f>
        <v>0</v>
      </c>
      <c r="CP82" s="46">
        <f t="shared" si="80"/>
        <v>0</v>
      </c>
      <c r="CQ82" s="20"/>
    </row>
    <row r="83" spans="1:95" s="95" customFormat="1" ht="14.25" customHeight="1" x14ac:dyDescent="0.25">
      <c r="A83" s="36" t="b">
        <f t="shared" si="44"/>
        <v>0</v>
      </c>
      <c r="B83" s="94">
        <v>72</v>
      </c>
      <c r="C83" s="7"/>
      <c r="D83" s="7"/>
      <c r="E83" s="33"/>
      <c r="F83" s="8" t="str">
        <f>IF(ISBLANK(E83), "", VLOOKUP(E83, Z!$A$2:$C$4127, 3, FALSE))</f>
        <v/>
      </c>
      <c r="G83" s="44"/>
      <c r="H83" s="44"/>
      <c r="I83" s="107"/>
      <c r="J83" s="108"/>
      <c r="K83" s="34"/>
      <c r="L83" s="59"/>
      <c r="M83" s="58" t="str" cm="1">
        <f t="array" ref="M83">IF($K83&gt;0, INDEX(Clean,1+AG83,$B$1), "")</f>
        <v/>
      </c>
      <c r="N83" s="62"/>
      <c r="O83" s="62"/>
      <c r="P83" s="63"/>
      <c r="Q83" s="52">
        <f t="shared" si="50"/>
        <v>0</v>
      </c>
      <c r="R83" s="58" t="str" cm="1">
        <f t="array" ref="R83">IF($K83&gt;0, INDEX(Clean,1+AH83,$B$1), "")</f>
        <v/>
      </c>
      <c r="S83" s="62"/>
      <c r="T83" s="62"/>
      <c r="U83" s="63"/>
      <c r="V83" s="52">
        <f t="shared" si="51"/>
        <v>0</v>
      </c>
      <c r="W83" s="6"/>
      <c r="X83" s="7"/>
      <c r="Y83" s="33"/>
      <c r="Z83" s="8" t="str">
        <f>IF(ISBLANK(Y83), "", VLOOKUP(Y83, Z!$A$2:$C$4127, 3, FALSE))</f>
        <v/>
      </c>
      <c r="AA83" s="38"/>
      <c r="AB83" s="9">
        <f t="shared" si="45"/>
        <v>0</v>
      </c>
      <c r="AC83" s="20"/>
      <c r="AD83" s="41">
        <f t="shared" si="46"/>
        <v>1</v>
      </c>
      <c r="AE83" s="41">
        <f t="shared" si="47"/>
        <v>1</v>
      </c>
      <c r="AF83" s="41">
        <f t="shared" si="48"/>
        <v>0</v>
      </c>
      <c r="AG83" s="41">
        <v>1</v>
      </c>
      <c r="AH83" s="41">
        <v>0</v>
      </c>
      <c r="AI83" s="41">
        <f t="shared" si="49"/>
        <v>-100</v>
      </c>
      <c r="AJ83" s="20"/>
      <c r="AK83" s="45"/>
      <c r="AL83" s="45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15"/>
      <c r="AY83" s="41" cm="1">
        <f t="array" ref="AY83">INDEX(Use, $AD83, 4)</f>
        <v>7</v>
      </c>
      <c r="AZ83" s="41">
        <f t="shared" si="52"/>
        <v>32</v>
      </c>
      <c r="BA83" s="41">
        <f t="shared" si="53"/>
        <v>13</v>
      </c>
      <c r="BB83" s="41">
        <f t="shared" si="54"/>
        <v>0</v>
      </c>
      <c r="BC83" s="57" cm="1">
        <f t="array" ref="BC83">K83/IF($L83&gt;0, INDEX($AO$12:$AU$66, $L83+20, $AD83), 1)</f>
        <v>0</v>
      </c>
      <c r="BD83" s="46">
        <f t="shared" si="55"/>
        <v>0</v>
      </c>
      <c r="BE83" s="41">
        <v>35</v>
      </c>
      <c r="BF83" s="46">
        <f t="shared" si="56"/>
        <v>52.55</v>
      </c>
      <c r="BG83" s="49">
        <f t="shared" si="57"/>
        <v>2.7676728869374316</v>
      </c>
      <c r="BH83" s="49" cm="1">
        <f t="array" ref="BH83">$BC83 * SUMPRODUCT(INDEX($AL$66:$AN$71,,$AE83),INDEX($AO$66:$AU$71,,$AD83), N($AK$66:$AK$71&gt;$AI83)) / BG83 / 1000</f>
        <v>0</v>
      </c>
      <c r="BI83" s="50">
        <f t="shared" si="58"/>
        <v>30</v>
      </c>
      <c r="BJ83" s="46">
        <f t="shared" si="59"/>
        <v>46.033333333333331</v>
      </c>
      <c r="BK83" s="49">
        <f t="shared" si="60"/>
        <v>3.2297395388556791</v>
      </c>
      <c r="BL83" s="49" cm="1">
        <f t="array" ref="BL83">$BC83 * IF($AD83&lt;=2,
SUMPRODUCT(INDEX($AL$61:$AN$65,,$AE83), INDEX($AO$61:$AU$65,,$AD83), 1 / ($AV$61:$AV$65*BK83 + (1-$AV$61:$AV$65)*BG83), N($AK$61:$AK$65&gt;$AI83)),
SUMPRODUCT(INDEX($AL$56:$AN$65,,$AE83), INDEX($AO$56:$AU$65,,$AD83), 1 / ($AW$56:$AW$65*BK83 + (1-$AW$56:$AW$65)*BG83), N($AK$56:$AK$65&gt;$AI83))
) / 1000</f>
        <v>0</v>
      </c>
      <c r="BM83" s="50">
        <f t="shared" si="61"/>
        <v>25</v>
      </c>
      <c r="BN83" s="46">
        <f t="shared" si="62"/>
        <v>39.516666666666666</v>
      </c>
      <c r="BO83" s="49">
        <f t="shared" si="63"/>
        <v>3.877011788826243</v>
      </c>
      <c r="BP83" s="49" cm="1">
        <f t="array" ref="BP83">$BC83 * IF($AD83&lt;=2,
SUMPRODUCT(INDEX($AL$56:$AN$60,,$AE83), INDEX($AO$56:$AU$60,,$AD83), 1 / ($AV$56:$AV$60*BO83 + (1-$AV$56:$AV$60)*BK83), N($AK$56:$AK$60&gt;$AI83)),
SUMPRODUCT(INDEX($AL$46:$AN$55,,$AE83), INDEX($AO$46:$AU$55,,$AD83), 1 / ($AW$46:$AW$55*BO83 + (1-$AW$46:$AW$55)*BK83), N($AK$46:$AK$55&gt;$AI83))
) / 1000</f>
        <v>0</v>
      </c>
      <c r="BQ83" s="50">
        <f t="shared" si="64"/>
        <v>20</v>
      </c>
      <c r="BR83" s="46">
        <f t="shared" si="65"/>
        <v>33</v>
      </c>
      <c r="BS83" s="49">
        <f t="shared" si="66"/>
        <v>4.8487499999999999</v>
      </c>
      <c r="BT83" s="49" cm="1">
        <f t="array" ref="BT83">$BC83 * IF($AD83&lt;=2,
SUMPRODUCT(INDEX($AL$51:$AN$55,,$AE83), INDEX($AO$51:$AU$55,,$AD83), 1 / ($AV$51:$AV$55*BS83 + (1-$AV$51:$AV$55)*BO83), N($AK$51:$AK$55&gt;$AI83)),
SUMPRODUCT(INDEX($AL$36:$AN$45,,$AE83), INDEX($AO$36:$AU$45,,$AD83), 1 / ($AW$36:$AW$45*BS83 + (1-$AW$36:$AW$45)*BO83), N($AK$36:$AK$45&gt;$AI83))
) / 1000</f>
        <v>0</v>
      </c>
      <c r="BU83" s="49" cm="1">
        <f t="array" ref="BU83">$BC83 * IF($AD83&lt;=2,
SUMPRODUCT(INDEX($AL$12:$AN$50,,$AE83), INDEX($AO$12:$AU$50,,$AD83), 1 / ($AV$12:$AV$50*BS83), N($AK$12:$AK$50&gt;$AI83)),
SUMPRODUCT(INDEX($AL$12:$AN$35,,$AE83), INDEX($AO$12:$AU$35,,$AD83), 1 / ($AW$12:$AW$35*BS83), N($AK$12:$AK$35&gt;$AI83))
) / 1000</f>
        <v>0</v>
      </c>
      <c r="BV83" s="46">
        <f t="shared" si="67"/>
        <v>0</v>
      </c>
      <c r="BW83" s="20"/>
      <c r="BX83" s="46">
        <f t="shared" si="68"/>
        <v>0</v>
      </c>
      <c r="BY83" s="41">
        <v>35</v>
      </c>
      <c r="BZ83" s="46">
        <f t="shared" si="69"/>
        <v>48</v>
      </c>
      <c r="CA83" s="49">
        <f t="shared" si="70"/>
        <v>3.0748170731707316</v>
      </c>
      <c r="CB83" s="49" cm="1">
        <f t="array" ref="CB83">$BC83 * SUMPRODUCT(INDEX($AL$66:$AN$71,,$AE83),INDEX($AO$66:$AU$71,,$AD83), N($AK$66:$AK$71&gt;$AI83)) / CA83 / 1000</f>
        <v>0</v>
      </c>
      <c r="CC83" s="50">
        <f t="shared" si="71"/>
        <v>30</v>
      </c>
      <c r="CD83" s="46">
        <f t="shared" si="72"/>
        <v>43</v>
      </c>
      <c r="CE83" s="49">
        <f t="shared" si="73"/>
        <v>3.5018750000000001</v>
      </c>
      <c r="CF83" s="49" cm="1">
        <f t="array" ref="CF83">$BC83 * IF($AD83&lt;=2,
SUMPRODUCT(INDEX($AL$61:$AN$65,,$AE83), INDEX($AO$61:$AU$65,,$AD83), 1 / ($AV$61:$AV$65*CE83 + (1-$AV$61:$AV$65)*CA83), N($AK$61:$AK$65&gt;$AI83)),
SUMPRODUCT(INDEX($AL$56:$AN$65,,$AE83), INDEX($AO$56:$AU$65,,$AD83), 1 / ($AW$56:$AW$65*CE83 + (1-$AW$56:$AW$65)*CA83), N($AK$56:$AK$65&gt;$AI83))
) / 1000</f>
        <v>0</v>
      </c>
      <c r="CG83" s="50">
        <f t="shared" si="74"/>
        <v>25</v>
      </c>
      <c r="CH83" s="46">
        <f t="shared" si="75"/>
        <v>38</v>
      </c>
      <c r="CI83" s="49">
        <f t="shared" si="76"/>
        <v>4.0666935483870965</v>
      </c>
      <c r="CJ83" s="49" cm="1">
        <f t="array" ref="CJ83">$BC83 * IF($AD83&lt;=2,
SUMPRODUCT(INDEX($AL$56:$AN$60,,$AE83), INDEX($AO$56:$AU$60,,$AD83), 1 / ($AV$56:$AV$60*CI83 + (1-$AV$56:$AV$60)*CE83), N($AK$56:$AK$60&gt;$AI83)),
SUMPRODUCT(INDEX($AL$46:$AN$55,,$AE83), INDEX($AO$46:$AU$55,,$AD83), 1 / ($AW$46:$AW$55*CI83 + (1-$AW$46:$AW$55)*CE83), N($AK$46:$AK$55&gt;$AI83))
) / 1000</f>
        <v>0</v>
      </c>
      <c r="CK83" s="50">
        <f t="shared" si="77"/>
        <v>20</v>
      </c>
      <c r="CL83" s="46">
        <f t="shared" si="78"/>
        <v>33</v>
      </c>
      <c r="CM83" s="49">
        <f t="shared" si="79"/>
        <v>4.8487499999999999</v>
      </c>
      <c r="CN83" s="49" cm="1">
        <f t="array" ref="CN83">$BC83 * IF($AD83&lt;=2,
SUMPRODUCT(INDEX($AL$51:$AN$55,,$AE83), INDEX($AO$51:$AU$55,,$AD83), 1 / ($AV$51:$AV$55*CM83 + (1-$AV$51:$AV$55)*CI83), N($AK$51:$AK$55&gt;$AI83)),
SUMPRODUCT(INDEX($AL$36:$AN$45,,$AE83), INDEX($AO$36:$AU$45,,$AD83), 1 / ($AW$36:$AW$45*CM83 + (1-$AW$36:$AW$45)*CI83), N($AK$36:$AK$45&gt;$AI83))
) / 1000</f>
        <v>0</v>
      </c>
      <c r="CO83" s="49" cm="1">
        <f t="array" ref="CO83">$BC83 * IF($AD83&lt;=2,
SUMPRODUCT(INDEX($AL$12:$AN$50,,$AE83), INDEX($AO$12:$AU$50,,$AD83), 1 / ($AV$12:$AV$50*CM83), N($AK$12:$AK$50&gt;$AI83)),
SUMPRODUCT(INDEX($AL$12:$AN$35,,$AE83), INDEX($AO$12:$AU$35,,$AD83), 1 / ($AW$12:$AW$35*CM83), N($AK$12:$AK$35&gt;$AI83))
) / 1000</f>
        <v>0</v>
      </c>
      <c r="CP83" s="46">
        <f t="shared" si="80"/>
        <v>0</v>
      </c>
      <c r="CQ83" s="20"/>
    </row>
    <row r="84" spans="1:95" s="95" customFormat="1" ht="14.25" customHeight="1" x14ac:dyDescent="0.25">
      <c r="A84" s="36" t="b">
        <f t="shared" si="44"/>
        <v>0</v>
      </c>
      <c r="B84" s="94">
        <v>73</v>
      </c>
      <c r="C84" s="7"/>
      <c r="D84" s="7"/>
      <c r="E84" s="33"/>
      <c r="F84" s="8" t="str">
        <f>IF(ISBLANK(E84), "", VLOOKUP(E84, Z!$A$2:$C$4127, 3, FALSE))</f>
        <v/>
      </c>
      <c r="G84" s="44"/>
      <c r="H84" s="44"/>
      <c r="I84" s="107"/>
      <c r="J84" s="108"/>
      <c r="K84" s="34"/>
      <c r="L84" s="59"/>
      <c r="M84" s="58" t="str" cm="1">
        <f t="array" ref="M84">IF($K84&gt;0, INDEX(Clean,1+AG84,$B$1), "")</f>
        <v/>
      </c>
      <c r="N84" s="62"/>
      <c r="O84" s="62"/>
      <c r="P84" s="63"/>
      <c r="Q84" s="52">
        <f t="shared" si="50"/>
        <v>0</v>
      </c>
      <c r="R84" s="58" t="str" cm="1">
        <f t="array" ref="R84">IF($K84&gt;0, INDEX(Clean,1+AH84,$B$1), "")</f>
        <v/>
      </c>
      <c r="S84" s="62"/>
      <c r="T84" s="62"/>
      <c r="U84" s="63"/>
      <c r="V84" s="52">
        <f t="shared" si="51"/>
        <v>0</v>
      </c>
      <c r="W84" s="6"/>
      <c r="X84" s="7"/>
      <c r="Y84" s="33"/>
      <c r="Z84" s="8" t="str">
        <f>IF(ISBLANK(Y84), "", VLOOKUP(Y84, Z!$A$2:$C$4127, 3, FALSE))</f>
        <v/>
      </c>
      <c r="AA84" s="38"/>
      <c r="AB84" s="9">
        <f t="shared" si="45"/>
        <v>0</v>
      </c>
      <c r="AC84" s="20"/>
      <c r="AD84" s="41">
        <f t="shared" si="46"/>
        <v>1</v>
      </c>
      <c r="AE84" s="41">
        <f t="shared" si="47"/>
        <v>1</v>
      </c>
      <c r="AF84" s="41">
        <f t="shared" si="48"/>
        <v>0</v>
      </c>
      <c r="AG84" s="41">
        <v>1</v>
      </c>
      <c r="AH84" s="41">
        <v>0</v>
      </c>
      <c r="AI84" s="41">
        <f t="shared" si="49"/>
        <v>-100</v>
      </c>
      <c r="AJ84" s="20"/>
      <c r="AK84" s="45"/>
      <c r="AL84" s="45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15"/>
      <c r="AY84" s="41" cm="1">
        <f t="array" ref="AY84">INDEX(Use, $AD84, 4)</f>
        <v>7</v>
      </c>
      <c r="AZ84" s="41">
        <f t="shared" si="52"/>
        <v>32</v>
      </c>
      <c r="BA84" s="41">
        <f t="shared" si="53"/>
        <v>13</v>
      </c>
      <c r="BB84" s="41">
        <f t="shared" si="54"/>
        <v>0</v>
      </c>
      <c r="BC84" s="57" cm="1">
        <f t="array" ref="BC84">K84/IF($L84&gt;0, INDEX($AO$12:$AU$66, $L84+20, $AD84), 1)</f>
        <v>0</v>
      </c>
      <c r="BD84" s="46">
        <f t="shared" si="55"/>
        <v>0</v>
      </c>
      <c r="BE84" s="41">
        <v>35</v>
      </c>
      <c r="BF84" s="46">
        <f t="shared" si="56"/>
        <v>52.55</v>
      </c>
      <c r="BG84" s="49">
        <f t="shared" si="57"/>
        <v>2.7676728869374316</v>
      </c>
      <c r="BH84" s="49" cm="1">
        <f t="array" ref="BH84">$BC84 * SUMPRODUCT(INDEX($AL$66:$AN$71,,$AE84),INDEX($AO$66:$AU$71,,$AD84), N($AK$66:$AK$71&gt;$AI84)) / BG84 / 1000</f>
        <v>0</v>
      </c>
      <c r="BI84" s="50">
        <f t="shared" si="58"/>
        <v>30</v>
      </c>
      <c r="BJ84" s="46">
        <f t="shared" si="59"/>
        <v>46.033333333333331</v>
      </c>
      <c r="BK84" s="49">
        <f t="shared" si="60"/>
        <v>3.2297395388556791</v>
      </c>
      <c r="BL84" s="49" cm="1">
        <f t="array" ref="BL84">$BC84 * IF($AD84&lt;=2,
SUMPRODUCT(INDEX($AL$61:$AN$65,,$AE84), INDEX($AO$61:$AU$65,,$AD84), 1 / ($AV$61:$AV$65*BK84 + (1-$AV$61:$AV$65)*BG84), N($AK$61:$AK$65&gt;$AI84)),
SUMPRODUCT(INDEX($AL$56:$AN$65,,$AE84), INDEX($AO$56:$AU$65,,$AD84), 1 / ($AW$56:$AW$65*BK84 + (1-$AW$56:$AW$65)*BG84), N($AK$56:$AK$65&gt;$AI84))
) / 1000</f>
        <v>0</v>
      </c>
      <c r="BM84" s="50">
        <f t="shared" si="61"/>
        <v>25</v>
      </c>
      <c r="BN84" s="46">
        <f t="shared" si="62"/>
        <v>39.516666666666666</v>
      </c>
      <c r="BO84" s="49">
        <f t="shared" si="63"/>
        <v>3.877011788826243</v>
      </c>
      <c r="BP84" s="49" cm="1">
        <f t="array" ref="BP84">$BC84 * IF($AD84&lt;=2,
SUMPRODUCT(INDEX($AL$56:$AN$60,,$AE84), INDEX($AO$56:$AU$60,,$AD84), 1 / ($AV$56:$AV$60*BO84 + (1-$AV$56:$AV$60)*BK84), N($AK$56:$AK$60&gt;$AI84)),
SUMPRODUCT(INDEX($AL$46:$AN$55,,$AE84), INDEX($AO$46:$AU$55,,$AD84), 1 / ($AW$46:$AW$55*BO84 + (1-$AW$46:$AW$55)*BK84), N($AK$46:$AK$55&gt;$AI84))
) / 1000</f>
        <v>0</v>
      </c>
      <c r="BQ84" s="50">
        <f t="shared" si="64"/>
        <v>20</v>
      </c>
      <c r="BR84" s="46">
        <f t="shared" si="65"/>
        <v>33</v>
      </c>
      <c r="BS84" s="49">
        <f t="shared" si="66"/>
        <v>4.8487499999999999</v>
      </c>
      <c r="BT84" s="49" cm="1">
        <f t="array" ref="BT84">$BC84 * IF($AD84&lt;=2,
SUMPRODUCT(INDEX($AL$51:$AN$55,,$AE84), INDEX($AO$51:$AU$55,,$AD84), 1 / ($AV$51:$AV$55*BS84 + (1-$AV$51:$AV$55)*BO84), N($AK$51:$AK$55&gt;$AI84)),
SUMPRODUCT(INDEX($AL$36:$AN$45,,$AE84), INDEX($AO$36:$AU$45,,$AD84), 1 / ($AW$36:$AW$45*BS84 + (1-$AW$36:$AW$45)*BO84), N($AK$36:$AK$45&gt;$AI84))
) / 1000</f>
        <v>0</v>
      </c>
      <c r="BU84" s="49" cm="1">
        <f t="array" ref="BU84">$BC84 * IF($AD84&lt;=2,
SUMPRODUCT(INDEX($AL$12:$AN$50,,$AE84), INDEX($AO$12:$AU$50,,$AD84), 1 / ($AV$12:$AV$50*BS84), N($AK$12:$AK$50&gt;$AI84)),
SUMPRODUCT(INDEX($AL$12:$AN$35,,$AE84), INDEX($AO$12:$AU$35,,$AD84), 1 / ($AW$12:$AW$35*BS84), N($AK$12:$AK$35&gt;$AI84))
) / 1000</f>
        <v>0</v>
      </c>
      <c r="BV84" s="46">
        <f t="shared" si="67"/>
        <v>0</v>
      </c>
      <c r="BW84" s="20"/>
      <c r="BX84" s="46">
        <f t="shared" si="68"/>
        <v>0</v>
      </c>
      <c r="BY84" s="41">
        <v>35</v>
      </c>
      <c r="BZ84" s="46">
        <f t="shared" si="69"/>
        <v>48</v>
      </c>
      <c r="CA84" s="49">
        <f t="shared" si="70"/>
        <v>3.0748170731707316</v>
      </c>
      <c r="CB84" s="49" cm="1">
        <f t="array" ref="CB84">$BC84 * SUMPRODUCT(INDEX($AL$66:$AN$71,,$AE84),INDEX($AO$66:$AU$71,,$AD84), N($AK$66:$AK$71&gt;$AI84)) / CA84 / 1000</f>
        <v>0</v>
      </c>
      <c r="CC84" s="50">
        <f t="shared" si="71"/>
        <v>30</v>
      </c>
      <c r="CD84" s="46">
        <f t="shared" si="72"/>
        <v>43</v>
      </c>
      <c r="CE84" s="49">
        <f t="shared" si="73"/>
        <v>3.5018750000000001</v>
      </c>
      <c r="CF84" s="49" cm="1">
        <f t="array" ref="CF84">$BC84 * IF($AD84&lt;=2,
SUMPRODUCT(INDEX($AL$61:$AN$65,,$AE84), INDEX($AO$61:$AU$65,,$AD84), 1 / ($AV$61:$AV$65*CE84 + (1-$AV$61:$AV$65)*CA84), N($AK$61:$AK$65&gt;$AI84)),
SUMPRODUCT(INDEX($AL$56:$AN$65,,$AE84), INDEX($AO$56:$AU$65,,$AD84), 1 / ($AW$56:$AW$65*CE84 + (1-$AW$56:$AW$65)*CA84), N($AK$56:$AK$65&gt;$AI84))
) / 1000</f>
        <v>0</v>
      </c>
      <c r="CG84" s="50">
        <f t="shared" si="74"/>
        <v>25</v>
      </c>
      <c r="CH84" s="46">
        <f t="shared" si="75"/>
        <v>38</v>
      </c>
      <c r="CI84" s="49">
        <f t="shared" si="76"/>
        <v>4.0666935483870965</v>
      </c>
      <c r="CJ84" s="49" cm="1">
        <f t="array" ref="CJ84">$BC84 * IF($AD84&lt;=2,
SUMPRODUCT(INDEX($AL$56:$AN$60,,$AE84), INDEX($AO$56:$AU$60,,$AD84), 1 / ($AV$56:$AV$60*CI84 + (1-$AV$56:$AV$60)*CE84), N($AK$56:$AK$60&gt;$AI84)),
SUMPRODUCT(INDEX($AL$46:$AN$55,,$AE84), INDEX($AO$46:$AU$55,,$AD84), 1 / ($AW$46:$AW$55*CI84 + (1-$AW$46:$AW$55)*CE84), N($AK$46:$AK$55&gt;$AI84))
) / 1000</f>
        <v>0</v>
      </c>
      <c r="CK84" s="50">
        <f t="shared" si="77"/>
        <v>20</v>
      </c>
      <c r="CL84" s="46">
        <f t="shared" si="78"/>
        <v>33</v>
      </c>
      <c r="CM84" s="49">
        <f t="shared" si="79"/>
        <v>4.8487499999999999</v>
      </c>
      <c r="CN84" s="49" cm="1">
        <f t="array" ref="CN84">$BC84 * IF($AD84&lt;=2,
SUMPRODUCT(INDEX($AL$51:$AN$55,,$AE84), INDEX($AO$51:$AU$55,,$AD84), 1 / ($AV$51:$AV$55*CM84 + (1-$AV$51:$AV$55)*CI84), N($AK$51:$AK$55&gt;$AI84)),
SUMPRODUCT(INDEX($AL$36:$AN$45,,$AE84), INDEX($AO$36:$AU$45,,$AD84), 1 / ($AW$36:$AW$45*CM84 + (1-$AW$36:$AW$45)*CI84), N($AK$36:$AK$45&gt;$AI84))
) / 1000</f>
        <v>0</v>
      </c>
      <c r="CO84" s="49" cm="1">
        <f t="array" ref="CO84">$BC84 * IF($AD84&lt;=2,
SUMPRODUCT(INDEX($AL$12:$AN$50,,$AE84), INDEX($AO$12:$AU$50,,$AD84), 1 / ($AV$12:$AV$50*CM84), N($AK$12:$AK$50&gt;$AI84)),
SUMPRODUCT(INDEX($AL$12:$AN$35,,$AE84), INDEX($AO$12:$AU$35,,$AD84), 1 / ($AW$12:$AW$35*CM84), N($AK$12:$AK$35&gt;$AI84))
) / 1000</f>
        <v>0</v>
      </c>
      <c r="CP84" s="46">
        <f t="shared" si="80"/>
        <v>0</v>
      </c>
      <c r="CQ84" s="20"/>
    </row>
    <row r="85" spans="1:95" s="95" customFormat="1" ht="14.25" customHeight="1" x14ac:dyDescent="0.25">
      <c r="A85" s="36" t="b">
        <f t="shared" si="44"/>
        <v>0</v>
      </c>
      <c r="B85" s="94">
        <v>74</v>
      </c>
      <c r="C85" s="7"/>
      <c r="D85" s="7"/>
      <c r="E85" s="33"/>
      <c r="F85" s="8" t="str">
        <f>IF(ISBLANK(E85), "", VLOOKUP(E85, Z!$A$2:$C$4127, 3, FALSE))</f>
        <v/>
      </c>
      <c r="G85" s="44"/>
      <c r="H85" s="44"/>
      <c r="I85" s="107"/>
      <c r="J85" s="108"/>
      <c r="K85" s="34"/>
      <c r="L85" s="59"/>
      <c r="M85" s="58" t="str" cm="1">
        <f t="array" ref="M85">IF($K85&gt;0, INDEX(Clean,1+AG85,$B$1), "")</f>
        <v/>
      </c>
      <c r="N85" s="62"/>
      <c r="O85" s="62"/>
      <c r="P85" s="63"/>
      <c r="Q85" s="52">
        <f t="shared" si="50"/>
        <v>0</v>
      </c>
      <c r="R85" s="58" t="str" cm="1">
        <f t="array" ref="R85">IF($K85&gt;0, INDEX(Clean,1+AH85,$B$1), "")</f>
        <v/>
      </c>
      <c r="S85" s="62"/>
      <c r="T85" s="62"/>
      <c r="U85" s="63"/>
      <c r="V85" s="52">
        <f t="shared" si="51"/>
        <v>0</v>
      </c>
      <c r="W85" s="6"/>
      <c r="X85" s="7"/>
      <c r="Y85" s="33"/>
      <c r="Z85" s="8" t="str">
        <f>IF(ISBLANK(Y85), "", VLOOKUP(Y85, Z!$A$2:$C$4127, 3, FALSE))</f>
        <v/>
      </c>
      <c r="AA85" s="38"/>
      <c r="AB85" s="9">
        <f t="shared" si="45"/>
        <v>0</v>
      </c>
      <c r="AC85" s="20"/>
      <c r="AD85" s="41">
        <f t="shared" si="46"/>
        <v>1</v>
      </c>
      <c r="AE85" s="41">
        <f t="shared" si="47"/>
        <v>1</v>
      </c>
      <c r="AF85" s="41">
        <f t="shared" si="48"/>
        <v>0</v>
      </c>
      <c r="AG85" s="41">
        <v>1</v>
      </c>
      <c r="AH85" s="41">
        <v>0</v>
      </c>
      <c r="AI85" s="41">
        <f t="shared" si="49"/>
        <v>-100</v>
      </c>
      <c r="AJ85" s="20"/>
      <c r="AK85" s="45"/>
      <c r="AL85" s="45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15"/>
      <c r="AY85" s="41" cm="1">
        <f t="array" ref="AY85">INDEX(Use, $AD85, 4)</f>
        <v>7</v>
      </c>
      <c r="AZ85" s="41">
        <f t="shared" si="52"/>
        <v>32</v>
      </c>
      <c r="BA85" s="41">
        <f t="shared" si="53"/>
        <v>13</v>
      </c>
      <c r="BB85" s="41">
        <f t="shared" si="54"/>
        <v>0</v>
      </c>
      <c r="BC85" s="57" cm="1">
        <f t="array" ref="BC85">K85/IF($L85&gt;0, INDEX($AO$12:$AU$66, $L85+20, $AD85), 1)</f>
        <v>0</v>
      </c>
      <c r="BD85" s="46">
        <f t="shared" si="55"/>
        <v>0</v>
      </c>
      <c r="BE85" s="41">
        <v>35</v>
      </c>
      <c r="BF85" s="46">
        <f t="shared" si="56"/>
        <v>52.55</v>
      </c>
      <c r="BG85" s="49">
        <f t="shared" si="57"/>
        <v>2.7676728869374316</v>
      </c>
      <c r="BH85" s="49" cm="1">
        <f t="array" ref="BH85">$BC85 * SUMPRODUCT(INDEX($AL$66:$AN$71,,$AE85),INDEX($AO$66:$AU$71,,$AD85), N($AK$66:$AK$71&gt;$AI85)) / BG85 / 1000</f>
        <v>0</v>
      </c>
      <c r="BI85" s="50">
        <f t="shared" si="58"/>
        <v>30</v>
      </c>
      <c r="BJ85" s="46">
        <f t="shared" si="59"/>
        <v>46.033333333333331</v>
      </c>
      <c r="BK85" s="49">
        <f t="shared" si="60"/>
        <v>3.2297395388556791</v>
      </c>
      <c r="BL85" s="49" cm="1">
        <f t="array" ref="BL85">$BC85 * IF($AD85&lt;=2,
SUMPRODUCT(INDEX($AL$61:$AN$65,,$AE85), INDEX($AO$61:$AU$65,,$AD85), 1 / ($AV$61:$AV$65*BK85 + (1-$AV$61:$AV$65)*BG85), N($AK$61:$AK$65&gt;$AI85)),
SUMPRODUCT(INDEX($AL$56:$AN$65,,$AE85), INDEX($AO$56:$AU$65,,$AD85), 1 / ($AW$56:$AW$65*BK85 + (1-$AW$56:$AW$65)*BG85), N($AK$56:$AK$65&gt;$AI85))
) / 1000</f>
        <v>0</v>
      </c>
      <c r="BM85" s="50">
        <f t="shared" si="61"/>
        <v>25</v>
      </c>
      <c r="BN85" s="46">
        <f t="shared" si="62"/>
        <v>39.516666666666666</v>
      </c>
      <c r="BO85" s="49">
        <f t="shared" si="63"/>
        <v>3.877011788826243</v>
      </c>
      <c r="BP85" s="49" cm="1">
        <f t="array" ref="BP85">$BC85 * IF($AD85&lt;=2,
SUMPRODUCT(INDEX($AL$56:$AN$60,,$AE85), INDEX($AO$56:$AU$60,,$AD85), 1 / ($AV$56:$AV$60*BO85 + (1-$AV$56:$AV$60)*BK85), N($AK$56:$AK$60&gt;$AI85)),
SUMPRODUCT(INDEX($AL$46:$AN$55,,$AE85), INDEX($AO$46:$AU$55,,$AD85), 1 / ($AW$46:$AW$55*BO85 + (1-$AW$46:$AW$55)*BK85), N($AK$46:$AK$55&gt;$AI85))
) / 1000</f>
        <v>0</v>
      </c>
      <c r="BQ85" s="50">
        <f t="shared" si="64"/>
        <v>20</v>
      </c>
      <c r="BR85" s="46">
        <f t="shared" si="65"/>
        <v>33</v>
      </c>
      <c r="BS85" s="49">
        <f t="shared" si="66"/>
        <v>4.8487499999999999</v>
      </c>
      <c r="BT85" s="49" cm="1">
        <f t="array" ref="BT85">$BC85 * IF($AD85&lt;=2,
SUMPRODUCT(INDEX($AL$51:$AN$55,,$AE85), INDEX($AO$51:$AU$55,,$AD85), 1 / ($AV$51:$AV$55*BS85 + (1-$AV$51:$AV$55)*BO85), N($AK$51:$AK$55&gt;$AI85)),
SUMPRODUCT(INDEX($AL$36:$AN$45,,$AE85), INDEX($AO$36:$AU$45,,$AD85), 1 / ($AW$36:$AW$45*BS85 + (1-$AW$36:$AW$45)*BO85), N($AK$36:$AK$45&gt;$AI85))
) / 1000</f>
        <v>0</v>
      </c>
      <c r="BU85" s="49" cm="1">
        <f t="array" ref="BU85">$BC85 * IF($AD85&lt;=2,
SUMPRODUCT(INDEX($AL$12:$AN$50,,$AE85), INDEX($AO$12:$AU$50,,$AD85), 1 / ($AV$12:$AV$50*BS85), N($AK$12:$AK$50&gt;$AI85)),
SUMPRODUCT(INDEX($AL$12:$AN$35,,$AE85), INDEX($AO$12:$AU$35,,$AD85), 1 / ($AW$12:$AW$35*BS85), N($AK$12:$AK$35&gt;$AI85))
) / 1000</f>
        <v>0</v>
      </c>
      <c r="BV85" s="46">
        <f t="shared" si="67"/>
        <v>0</v>
      </c>
      <c r="BW85" s="20"/>
      <c r="BX85" s="46">
        <f t="shared" si="68"/>
        <v>0</v>
      </c>
      <c r="BY85" s="41">
        <v>35</v>
      </c>
      <c r="BZ85" s="46">
        <f t="shared" si="69"/>
        <v>48</v>
      </c>
      <c r="CA85" s="49">
        <f t="shared" si="70"/>
        <v>3.0748170731707316</v>
      </c>
      <c r="CB85" s="49" cm="1">
        <f t="array" ref="CB85">$BC85 * SUMPRODUCT(INDEX($AL$66:$AN$71,,$AE85),INDEX($AO$66:$AU$71,,$AD85), N($AK$66:$AK$71&gt;$AI85)) / CA85 / 1000</f>
        <v>0</v>
      </c>
      <c r="CC85" s="50">
        <f t="shared" si="71"/>
        <v>30</v>
      </c>
      <c r="CD85" s="46">
        <f t="shared" si="72"/>
        <v>43</v>
      </c>
      <c r="CE85" s="49">
        <f t="shared" si="73"/>
        <v>3.5018750000000001</v>
      </c>
      <c r="CF85" s="49" cm="1">
        <f t="array" ref="CF85">$BC85 * IF($AD85&lt;=2,
SUMPRODUCT(INDEX($AL$61:$AN$65,,$AE85), INDEX($AO$61:$AU$65,,$AD85), 1 / ($AV$61:$AV$65*CE85 + (1-$AV$61:$AV$65)*CA85), N($AK$61:$AK$65&gt;$AI85)),
SUMPRODUCT(INDEX($AL$56:$AN$65,,$AE85), INDEX($AO$56:$AU$65,,$AD85), 1 / ($AW$56:$AW$65*CE85 + (1-$AW$56:$AW$65)*CA85), N($AK$56:$AK$65&gt;$AI85))
) / 1000</f>
        <v>0</v>
      </c>
      <c r="CG85" s="50">
        <f t="shared" si="74"/>
        <v>25</v>
      </c>
      <c r="CH85" s="46">
        <f t="shared" si="75"/>
        <v>38</v>
      </c>
      <c r="CI85" s="49">
        <f t="shared" si="76"/>
        <v>4.0666935483870965</v>
      </c>
      <c r="CJ85" s="49" cm="1">
        <f t="array" ref="CJ85">$BC85 * IF($AD85&lt;=2,
SUMPRODUCT(INDEX($AL$56:$AN$60,,$AE85), INDEX($AO$56:$AU$60,,$AD85), 1 / ($AV$56:$AV$60*CI85 + (1-$AV$56:$AV$60)*CE85), N($AK$56:$AK$60&gt;$AI85)),
SUMPRODUCT(INDEX($AL$46:$AN$55,,$AE85), INDEX($AO$46:$AU$55,,$AD85), 1 / ($AW$46:$AW$55*CI85 + (1-$AW$46:$AW$55)*CE85), N($AK$46:$AK$55&gt;$AI85))
) / 1000</f>
        <v>0</v>
      </c>
      <c r="CK85" s="50">
        <f t="shared" si="77"/>
        <v>20</v>
      </c>
      <c r="CL85" s="46">
        <f t="shared" si="78"/>
        <v>33</v>
      </c>
      <c r="CM85" s="49">
        <f t="shared" si="79"/>
        <v>4.8487499999999999</v>
      </c>
      <c r="CN85" s="49" cm="1">
        <f t="array" ref="CN85">$BC85 * IF($AD85&lt;=2,
SUMPRODUCT(INDEX($AL$51:$AN$55,,$AE85), INDEX($AO$51:$AU$55,,$AD85), 1 / ($AV$51:$AV$55*CM85 + (1-$AV$51:$AV$55)*CI85), N($AK$51:$AK$55&gt;$AI85)),
SUMPRODUCT(INDEX($AL$36:$AN$45,,$AE85), INDEX($AO$36:$AU$45,,$AD85), 1 / ($AW$36:$AW$45*CM85 + (1-$AW$36:$AW$45)*CI85), N($AK$36:$AK$45&gt;$AI85))
) / 1000</f>
        <v>0</v>
      </c>
      <c r="CO85" s="49" cm="1">
        <f t="array" ref="CO85">$BC85 * IF($AD85&lt;=2,
SUMPRODUCT(INDEX($AL$12:$AN$50,,$AE85), INDEX($AO$12:$AU$50,,$AD85), 1 / ($AV$12:$AV$50*CM85), N($AK$12:$AK$50&gt;$AI85)),
SUMPRODUCT(INDEX($AL$12:$AN$35,,$AE85), INDEX($AO$12:$AU$35,,$AD85), 1 / ($AW$12:$AW$35*CM85), N($AK$12:$AK$35&gt;$AI85))
) / 1000</f>
        <v>0</v>
      </c>
      <c r="CP85" s="46">
        <f t="shared" si="80"/>
        <v>0</v>
      </c>
      <c r="CQ85" s="20"/>
    </row>
    <row r="86" spans="1:95" s="95" customFormat="1" ht="14.25" customHeight="1" x14ac:dyDescent="0.25">
      <c r="A86" s="36" t="b">
        <f t="shared" si="44"/>
        <v>0</v>
      </c>
      <c r="B86" s="94">
        <v>75</v>
      </c>
      <c r="C86" s="7"/>
      <c r="D86" s="7"/>
      <c r="E86" s="33"/>
      <c r="F86" s="8" t="str">
        <f>IF(ISBLANK(E86), "", VLOOKUP(E86, Z!$A$2:$C$4127, 3, FALSE))</f>
        <v/>
      </c>
      <c r="G86" s="44"/>
      <c r="H86" s="44"/>
      <c r="I86" s="107"/>
      <c r="J86" s="108"/>
      <c r="K86" s="34"/>
      <c r="L86" s="59"/>
      <c r="M86" s="58" t="str" cm="1">
        <f t="array" ref="M86">IF($K86&gt;0, INDEX(Clean,1+AG86,$B$1), "")</f>
        <v/>
      </c>
      <c r="N86" s="62"/>
      <c r="O86" s="62"/>
      <c r="P86" s="63"/>
      <c r="Q86" s="52">
        <f t="shared" si="50"/>
        <v>0</v>
      </c>
      <c r="R86" s="58" t="str" cm="1">
        <f t="array" ref="R86">IF($K86&gt;0, INDEX(Clean,1+AH86,$B$1), "")</f>
        <v/>
      </c>
      <c r="S86" s="62"/>
      <c r="T86" s="62"/>
      <c r="U86" s="63"/>
      <c r="V86" s="52">
        <f t="shared" si="51"/>
        <v>0</v>
      </c>
      <c r="W86" s="6"/>
      <c r="X86" s="7"/>
      <c r="Y86" s="33"/>
      <c r="Z86" s="8" t="str">
        <f>IF(ISBLANK(Y86), "", VLOOKUP(Y86, Z!$A$2:$C$4127, 3, FALSE))</f>
        <v/>
      </c>
      <c r="AA86" s="38"/>
      <c r="AB86" s="9">
        <f t="shared" si="45"/>
        <v>0</v>
      </c>
      <c r="AC86" s="20"/>
      <c r="AD86" s="41">
        <f t="shared" si="46"/>
        <v>1</v>
      </c>
      <c r="AE86" s="41">
        <f t="shared" si="47"/>
        <v>1</v>
      </c>
      <c r="AF86" s="41">
        <f t="shared" si="48"/>
        <v>0</v>
      </c>
      <c r="AG86" s="41">
        <v>1</v>
      </c>
      <c r="AH86" s="41">
        <v>0</v>
      </c>
      <c r="AI86" s="41">
        <f t="shared" si="49"/>
        <v>-100</v>
      </c>
      <c r="AJ86" s="20"/>
      <c r="AK86" s="45"/>
      <c r="AL86" s="45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15"/>
      <c r="AY86" s="41" cm="1">
        <f t="array" ref="AY86">INDEX(Use, $AD86, 4)</f>
        <v>7</v>
      </c>
      <c r="AZ86" s="41">
        <f t="shared" si="52"/>
        <v>32</v>
      </c>
      <c r="BA86" s="41">
        <f t="shared" si="53"/>
        <v>13</v>
      </c>
      <c r="BB86" s="41">
        <f t="shared" si="54"/>
        <v>0</v>
      </c>
      <c r="BC86" s="57" cm="1">
        <f t="array" ref="BC86">K86/IF($L86&gt;0, INDEX($AO$12:$AU$66, $L86+20, $AD86), 1)</f>
        <v>0</v>
      </c>
      <c r="BD86" s="46">
        <f t="shared" si="55"/>
        <v>0</v>
      </c>
      <c r="BE86" s="41">
        <v>35</v>
      </c>
      <c r="BF86" s="46">
        <f t="shared" si="56"/>
        <v>52.55</v>
      </c>
      <c r="BG86" s="49">
        <f t="shared" si="57"/>
        <v>2.7676728869374316</v>
      </c>
      <c r="BH86" s="49" cm="1">
        <f t="array" ref="BH86">$BC86 * SUMPRODUCT(INDEX($AL$66:$AN$71,,$AE86),INDEX($AO$66:$AU$71,,$AD86), N($AK$66:$AK$71&gt;$AI86)) / BG86 / 1000</f>
        <v>0</v>
      </c>
      <c r="BI86" s="50">
        <f t="shared" si="58"/>
        <v>30</v>
      </c>
      <c r="BJ86" s="46">
        <f t="shared" si="59"/>
        <v>46.033333333333331</v>
      </c>
      <c r="BK86" s="49">
        <f t="shared" si="60"/>
        <v>3.2297395388556791</v>
      </c>
      <c r="BL86" s="49" cm="1">
        <f t="array" ref="BL86">$BC86 * IF($AD86&lt;=2,
SUMPRODUCT(INDEX($AL$61:$AN$65,,$AE86), INDEX($AO$61:$AU$65,,$AD86), 1 / ($AV$61:$AV$65*BK86 + (1-$AV$61:$AV$65)*BG86), N($AK$61:$AK$65&gt;$AI86)),
SUMPRODUCT(INDEX($AL$56:$AN$65,,$AE86), INDEX($AO$56:$AU$65,,$AD86), 1 / ($AW$56:$AW$65*BK86 + (1-$AW$56:$AW$65)*BG86), N($AK$56:$AK$65&gt;$AI86))
) / 1000</f>
        <v>0</v>
      </c>
      <c r="BM86" s="50">
        <f t="shared" si="61"/>
        <v>25</v>
      </c>
      <c r="BN86" s="46">
        <f t="shared" si="62"/>
        <v>39.516666666666666</v>
      </c>
      <c r="BO86" s="49">
        <f t="shared" si="63"/>
        <v>3.877011788826243</v>
      </c>
      <c r="BP86" s="49" cm="1">
        <f t="array" ref="BP86">$BC86 * IF($AD86&lt;=2,
SUMPRODUCT(INDEX($AL$56:$AN$60,,$AE86), INDEX($AO$56:$AU$60,,$AD86), 1 / ($AV$56:$AV$60*BO86 + (1-$AV$56:$AV$60)*BK86), N($AK$56:$AK$60&gt;$AI86)),
SUMPRODUCT(INDEX($AL$46:$AN$55,,$AE86), INDEX($AO$46:$AU$55,,$AD86), 1 / ($AW$46:$AW$55*BO86 + (1-$AW$46:$AW$55)*BK86), N($AK$46:$AK$55&gt;$AI86))
) / 1000</f>
        <v>0</v>
      </c>
      <c r="BQ86" s="50">
        <f t="shared" si="64"/>
        <v>20</v>
      </c>
      <c r="BR86" s="46">
        <f t="shared" si="65"/>
        <v>33</v>
      </c>
      <c r="BS86" s="49">
        <f t="shared" si="66"/>
        <v>4.8487499999999999</v>
      </c>
      <c r="BT86" s="49" cm="1">
        <f t="array" ref="BT86">$BC86 * IF($AD86&lt;=2,
SUMPRODUCT(INDEX($AL$51:$AN$55,,$AE86), INDEX($AO$51:$AU$55,,$AD86), 1 / ($AV$51:$AV$55*BS86 + (1-$AV$51:$AV$55)*BO86), N($AK$51:$AK$55&gt;$AI86)),
SUMPRODUCT(INDEX($AL$36:$AN$45,,$AE86), INDEX($AO$36:$AU$45,,$AD86), 1 / ($AW$36:$AW$45*BS86 + (1-$AW$36:$AW$45)*BO86), N($AK$36:$AK$45&gt;$AI86))
) / 1000</f>
        <v>0</v>
      </c>
      <c r="BU86" s="49" cm="1">
        <f t="array" ref="BU86">$BC86 * IF($AD86&lt;=2,
SUMPRODUCT(INDEX($AL$12:$AN$50,,$AE86), INDEX($AO$12:$AU$50,,$AD86), 1 / ($AV$12:$AV$50*BS86), N($AK$12:$AK$50&gt;$AI86)),
SUMPRODUCT(INDEX($AL$12:$AN$35,,$AE86), INDEX($AO$12:$AU$35,,$AD86), 1 / ($AW$12:$AW$35*BS86), N($AK$12:$AK$35&gt;$AI86))
) / 1000</f>
        <v>0</v>
      </c>
      <c r="BV86" s="46">
        <f t="shared" si="67"/>
        <v>0</v>
      </c>
      <c r="BW86" s="20"/>
      <c r="BX86" s="46">
        <f t="shared" si="68"/>
        <v>0</v>
      </c>
      <c r="BY86" s="41">
        <v>35</v>
      </c>
      <c r="BZ86" s="46">
        <f t="shared" si="69"/>
        <v>48</v>
      </c>
      <c r="CA86" s="49">
        <f t="shared" si="70"/>
        <v>3.0748170731707316</v>
      </c>
      <c r="CB86" s="49" cm="1">
        <f t="array" ref="CB86">$BC86 * SUMPRODUCT(INDEX($AL$66:$AN$71,,$AE86),INDEX($AO$66:$AU$71,,$AD86), N($AK$66:$AK$71&gt;$AI86)) / CA86 / 1000</f>
        <v>0</v>
      </c>
      <c r="CC86" s="50">
        <f t="shared" si="71"/>
        <v>30</v>
      </c>
      <c r="CD86" s="46">
        <f t="shared" si="72"/>
        <v>43</v>
      </c>
      <c r="CE86" s="49">
        <f t="shared" si="73"/>
        <v>3.5018750000000001</v>
      </c>
      <c r="CF86" s="49" cm="1">
        <f t="array" ref="CF86">$BC86 * IF($AD86&lt;=2,
SUMPRODUCT(INDEX($AL$61:$AN$65,,$AE86), INDEX($AO$61:$AU$65,,$AD86), 1 / ($AV$61:$AV$65*CE86 + (1-$AV$61:$AV$65)*CA86), N($AK$61:$AK$65&gt;$AI86)),
SUMPRODUCT(INDEX($AL$56:$AN$65,,$AE86), INDEX($AO$56:$AU$65,,$AD86), 1 / ($AW$56:$AW$65*CE86 + (1-$AW$56:$AW$65)*CA86), N($AK$56:$AK$65&gt;$AI86))
) / 1000</f>
        <v>0</v>
      </c>
      <c r="CG86" s="50">
        <f t="shared" si="74"/>
        <v>25</v>
      </c>
      <c r="CH86" s="46">
        <f t="shared" si="75"/>
        <v>38</v>
      </c>
      <c r="CI86" s="49">
        <f t="shared" si="76"/>
        <v>4.0666935483870965</v>
      </c>
      <c r="CJ86" s="49" cm="1">
        <f t="array" ref="CJ86">$BC86 * IF($AD86&lt;=2,
SUMPRODUCT(INDEX($AL$56:$AN$60,,$AE86), INDEX($AO$56:$AU$60,,$AD86), 1 / ($AV$56:$AV$60*CI86 + (1-$AV$56:$AV$60)*CE86), N($AK$56:$AK$60&gt;$AI86)),
SUMPRODUCT(INDEX($AL$46:$AN$55,,$AE86), INDEX($AO$46:$AU$55,,$AD86), 1 / ($AW$46:$AW$55*CI86 + (1-$AW$46:$AW$55)*CE86), N($AK$46:$AK$55&gt;$AI86))
) / 1000</f>
        <v>0</v>
      </c>
      <c r="CK86" s="50">
        <f t="shared" si="77"/>
        <v>20</v>
      </c>
      <c r="CL86" s="46">
        <f t="shared" si="78"/>
        <v>33</v>
      </c>
      <c r="CM86" s="49">
        <f t="shared" si="79"/>
        <v>4.8487499999999999</v>
      </c>
      <c r="CN86" s="49" cm="1">
        <f t="array" ref="CN86">$BC86 * IF($AD86&lt;=2,
SUMPRODUCT(INDEX($AL$51:$AN$55,,$AE86), INDEX($AO$51:$AU$55,,$AD86), 1 / ($AV$51:$AV$55*CM86 + (1-$AV$51:$AV$55)*CI86), N($AK$51:$AK$55&gt;$AI86)),
SUMPRODUCT(INDEX($AL$36:$AN$45,,$AE86), INDEX($AO$36:$AU$45,,$AD86), 1 / ($AW$36:$AW$45*CM86 + (1-$AW$36:$AW$45)*CI86), N($AK$36:$AK$45&gt;$AI86))
) / 1000</f>
        <v>0</v>
      </c>
      <c r="CO86" s="49" cm="1">
        <f t="array" ref="CO86">$BC86 * IF($AD86&lt;=2,
SUMPRODUCT(INDEX($AL$12:$AN$50,,$AE86), INDEX($AO$12:$AU$50,,$AD86), 1 / ($AV$12:$AV$50*CM86), N($AK$12:$AK$50&gt;$AI86)),
SUMPRODUCT(INDEX($AL$12:$AN$35,,$AE86), INDEX($AO$12:$AU$35,,$AD86), 1 / ($AW$12:$AW$35*CM86), N($AK$12:$AK$35&gt;$AI86))
) / 1000</f>
        <v>0</v>
      </c>
      <c r="CP86" s="46">
        <f t="shared" si="80"/>
        <v>0</v>
      </c>
      <c r="CQ86" s="20"/>
    </row>
    <row r="87" spans="1:95" s="95" customFormat="1" ht="14.25" customHeight="1" x14ac:dyDescent="0.25">
      <c r="A87" s="36" t="b">
        <f t="shared" si="44"/>
        <v>0</v>
      </c>
      <c r="B87" s="94">
        <v>76</v>
      </c>
      <c r="C87" s="7"/>
      <c r="D87" s="7"/>
      <c r="E87" s="33"/>
      <c r="F87" s="8" t="str">
        <f>IF(ISBLANK(E87), "", VLOOKUP(E87, Z!$A$2:$C$4127, 3, FALSE))</f>
        <v/>
      </c>
      <c r="G87" s="44"/>
      <c r="H87" s="44"/>
      <c r="I87" s="107"/>
      <c r="J87" s="108"/>
      <c r="K87" s="34"/>
      <c r="L87" s="59"/>
      <c r="M87" s="58" t="str" cm="1">
        <f t="array" ref="M87">IF($K87&gt;0, INDEX(Clean,1+AG87,$B$1), "")</f>
        <v/>
      </c>
      <c r="N87" s="62"/>
      <c r="O87" s="62"/>
      <c r="P87" s="63"/>
      <c r="Q87" s="52">
        <f t="shared" si="50"/>
        <v>0</v>
      </c>
      <c r="R87" s="58" t="str" cm="1">
        <f t="array" ref="R87">IF($K87&gt;0, INDEX(Clean,1+AH87,$B$1), "")</f>
        <v/>
      </c>
      <c r="S87" s="62"/>
      <c r="T87" s="62"/>
      <c r="U87" s="63"/>
      <c r="V87" s="52">
        <f t="shared" si="51"/>
        <v>0</v>
      </c>
      <c r="W87" s="6"/>
      <c r="X87" s="7"/>
      <c r="Y87" s="33"/>
      <c r="Z87" s="8" t="str">
        <f>IF(ISBLANK(Y87), "", VLOOKUP(Y87, Z!$A$2:$C$4127, 3, FALSE))</f>
        <v/>
      </c>
      <c r="AA87" s="38"/>
      <c r="AB87" s="9">
        <f t="shared" si="45"/>
        <v>0</v>
      </c>
      <c r="AC87" s="20"/>
      <c r="AD87" s="41">
        <f t="shared" si="46"/>
        <v>1</v>
      </c>
      <c r="AE87" s="41">
        <f t="shared" si="47"/>
        <v>1</v>
      </c>
      <c r="AF87" s="41">
        <f t="shared" si="48"/>
        <v>0</v>
      </c>
      <c r="AG87" s="41">
        <v>1</v>
      </c>
      <c r="AH87" s="41">
        <v>0</v>
      </c>
      <c r="AI87" s="41">
        <f t="shared" si="49"/>
        <v>-100</v>
      </c>
      <c r="AJ87" s="20"/>
      <c r="AK87" s="45"/>
      <c r="AL87" s="45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15"/>
      <c r="AY87" s="41" cm="1">
        <f t="array" ref="AY87">INDEX(Use, $AD87, 4)</f>
        <v>7</v>
      </c>
      <c r="AZ87" s="41">
        <f t="shared" si="52"/>
        <v>32</v>
      </c>
      <c r="BA87" s="41">
        <f t="shared" si="53"/>
        <v>13</v>
      </c>
      <c r="BB87" s="41">
        <f t="shared" si="54"/>
        <v>0</v>
      </c>
      <c r="BC87" s="57" cm="1">
        <f t="array" ref="BC87">K87/IF($L87&gt;0, INDEX($AO$12:$AU$66, $L87+20, $AD87), 1)</f>
        <v>0</v>
      </c>
      <c r="BD87" s="46">
        <f t="shared" si="55"/>
        <v>0</v>
      </c>
      <c r="BE87" s="41">
        <v>35</v>
      </c>
      <c r="BF87" s="46">
        <f t="shared" si="56"/>
        <v>52.55</v>
      </c>
      <c r="BG87" s="49">
        <f t="shared" si="57"/>
        <v>2.7676728869374316</v>
      </c>
      <c r="BH87" s="49" cm="1">
        <f t="array" ref="BH87">$BC87 * SUMPRODUCT(INDEX($AL$66:$AN$71,,$AE87),INDEX($AO$66:$AU$71,,$AD87), N($AK$66:$AK$71&gt;$AI87)) / BG87 / 1000</f>
        <v>0</v>
      </c>
      <c r="BI87" s="50">
        <f t="shared" si="58"/>
        <v>30</v>
      </c>
      <c r="BJ87" s="46">
        <f t="shared" si="59"/>
        <v>46.033333333333331</v>
      </c>
      <c r="BK87" s="49">
        <f t="shared" si="60"/>
        <v>3.2297395388556791</v>
      </c>
      <c r="BL87" s="49" cm="1">
        <f t="array" ref="BL87">$BC87 * IF($AD87&lt;=2,
SUMPRODUCT(INDEX($AL$61:$AN$65,,$AE87), INDEX($AO$61:$AU$65,,$AD87), 1 / ($AV$61:$AV$65*BK87 + (1-$AV$61:$AV$65)*BG87), N($AK$61:$AK$65&gt;$AI87)),
SUMPRODUCT(INDEX($AL$56:$AN$65,,$AE87), INDEX($AO$56:$AU$65,,$AD87), 1 / ($AW$56:$AW$65*BK87 + (1-$AW$56:$AW$65)*BG87), N($AK$56:$AK$65&gt;$AI87))
) / 1000</f>
        <v>0</v>
      </c>
      <c r="BM87" s="50">
        <f t="shared" si="61"/>
        <v>25</v>
      </c>
      <c r="BN87" s="46">
        <f t="shared" si="62"/>
        <v>39.516666666666666</v>
      </c>
      <c r="BO87" s="49">
        <f t="shared" si="63"/>
        <v>3.877011788826243</v>
      </c>
      <c r="BP87" s="49" cm="1">
        <f t="array" ref="BP87">$BC87 * IF($AD87&lt;=2,
SUMPRODUCT(INDEX($AL$56:$AN$60,,$AE87), INDEX($AO$56:$AU$60,,$AD87), 1 / ($AV$56:$AV$60*BO87 + (1-$AV$56:$AV$60)*BK87), N($AK$56:$AK$60&gt;$AI87)),
SUMPRODUCT(INDEX($AL$46:$AN$55,,$AE87), INDEX($AO$46:$AU$55,,$AD87), 1 / ($AW$46:$AW$55*BO87 + (1-$AW$46:$AW$55)*BK87), N($AK$46:$AK$55&gt;$AI87))
) / 1000</f>
        <v>0</v>
      </c>
      <c r="BQ87" s="50">
        <f t="shared" si="64"/>
        <v>20</v>
      </c>
      <c r="BR87" s="46">
        <f t="shared" si="65"/>
        <v>33</v>
      </c>
      <c r="BS87" s="49">
        <f t="shared" si="66"/>
        <v>4.8487499999999999</v>
      </c>
      <c r="BT87" s="49" cm="1">
        <f t="array" ref="BT87">$BC87 * IF($AD87&lt;=2,
SUMPRODUCT(INDEX($AL$51:$AN$55,,$AE87), INDEX($AO$51:$AU$55,,$AD87), 1 / ($AV$51:$AV$55*BS87 + (1-$AV$51:$AV$55)*BO87), N($AK$51:$AK$55&gt;$AI87)),
SUMPRODUCT(INDEX($AL$36:$AN$45,,$AE87), INDEX($AO$36:$AU$45,,$AD87), 1 / ($AW$36:$AW$45*BS87 + (1-$AW$36:$AW$45)*BO87), N($AK$36:$AK$45&gt;$AI87))
) / 1000</f>
        <v>0</v>
      </c>
      <c r="BU87" s="49" cm="1">
        <f t="array" ref="BU87">$BC87 * IF($AD87&lt;=2,
SUMPRODUCT(INDEX($AL$12:$AN$50,,$AE87), INDEX($AO$12:$AU$50,,$AD87), 1 / ($AV$12:$AV$50*BS87), N($AK$12:$AK$50&gt;$AI87)),
SUMPRODUCT(INDEX($AL$12:$AN$35,,$AE87), INDEX($AO$12:$AU$35,,$AD87), 1 / ($AW$12:$AW$35*BS87), N($AK$12:$AK$35&gt;$AI87))
) / 1000</f>
        <v>0</v>
      </c>
      <c r="BV87" s="46">
        <f t="shared" si="67"/>
        <v>0</v>
      </c>
      <c r="BW87" s="20"/>
      <c r="BX87" s="46">
        <f t="shared" si="68"/>
        <v>0</v>
      </c>
      <c r="BY87" s="41">
        <v>35</v>
      </c>
      <c r="BZ87" s="46">
        <f t="shared" si="69"/>
        <v>48</v>
      </c>
      <c r="CA87" s="49">
        <f t="shared" si="70"/>
        <v>3.0748170731707316</v>
      </c>
      <c r="CB87" s="49" cm="1">
        <f t="array" ref="CB87">$BC87 * SUMPRODUCT(INDEX($AL$66:$AN$71,,$AE87),INDEX($AO$66:$AU$71,,$AD87), N($AK$66:$AK$71&gt;$AI87)) / CA87 / 1000</f>
        <v>0</v>
      </c>
      <c r="CC87" s="50">
        <f t="shared" si="71"/>
        <v>30</v>
      </c>
      <c r="CD87" s="46">
        <f t="shared" si="72"/>
        <v>43</v>
      </c>
      <c r="CE87" s="49">
        <f t="shared" si="73"/>
        <v>3.5018750000000001</v>
      </c>
      <c r="CF87" s="49" cm="1">
        <f t="array" ref="CF87">$BC87 * IF($AD87&lt;=2,
SUMPRODUCT(INDEX($AL$61:$AN$65,,$AE87), INDEX($AO$61:$AU$65,,$AD87), 1 / ($AV$61:$AV$65*CE87 + (1-$AV$61:$AV$65)*CA87), N($AK$61:$AK$65&gt;$AI87)),
SUMPRODUCT(INDEX($AL$56:$AN$65,,$AE87), INDEX($AO$56:$AU$65,,$AD87), 1 / ($AW$56:$AW$65*CE87 + (1-$AW$56:$AW$65)*CA87), N($AK$56:$AK$65&gt;$AI87))
) / 1000</f>
        <v>0</v>
      </c>
      <c r="CG87" s="50">
        <f t="shared" si="74"/>
        <v>25</v>
      </c>
      <c r="CH87" s="46">
        <f t="shared" si="75"/>
        <v>38</v>
      </c>
      <c r="CI87" s="49">
        <f t="shared" si="76"/>
        <v>4.0666935483870965</v>
      </c>
      <c r="CJ87" s="49" cm="1">
        <f t="array" ref="CJ87">$BC87 * IF($AD87&lt;=2,
SUMPRODUCT(INDEX($AL$56:$AN$60,,$AE87), INDEX($AO$56:$AU$60,,$AD87), 1 / ($AV$56:$AV$60*CI87 + (1-$AV$56:$AV$60)*CE87), N($AK$56:$AK$60&gt;$AI87)),
SUMPRODUCT(INDEX($AL$46:$AN$55,,$AE87), INDEX($AO$46:$AU$55,,$AD87), 1 / ($AW$46:$AW$55*CI87 + (1-$AW$46:$AW$55)*CE87), N($AK$46:$AK$55&gt;$AI87))
) / 1000</f>
        <v>0</v>
      </c>
      <c r="CK87" s="50">
        <f t="shared" si="77"/>
        <v>20</v>
      </c>
      <c r="CL87" s="46">
        <f t="shared" si="78"/>
        <v>33</v>
      </c>
      <c r="CM87" s="49">
        <f t="shared" si="79"/>
        <v>4.8487499999999999</v>
      </c>
      <c r="CN87" s="49" cm="1">
        <f t="array" ref="CN87">$BC87 * IF($AD87&lt;=2,
SUMPRODUCT(INDEX($AL$51:$AN$55,,$AE87), INDEX($AO$51:$AU$55,,$AD87), 1 / ($AV$51:$AV$55*CM87 + (1-$AV$51:$AV$55)*CI87), N($AK$51:$AK$55&gt;$AI87)),
SUMPRODUCT(INDEX($AL$36:$AN$45,,$AE87), INDEX($AO$36:$AU$45,,$AD87), 1 / ($AW$36:$AW$45*CM87 + (1-$AW$36:$AW$45)*CI87), N($AK$36:$AK$45&gt;$AI87))
) / 1000</f>
        <v>0</v>
      </c>
      <c r="CO87" s="49" cm="1">
        <f t="array" ref="CO87">$BC87 * IF($AD87&lt;=2,
SUMPRODUCT(INDEX($AL$12:$AN$50,,$AE87), INDEX($AO$12:$AU$50,,$AD87), 1 / ($AV$12:$AV$50*CM87), N($AK$12:$AK$50&gt;$AI87)),
SUMPRODUCT(INDEX($AL$12:$AN$35,,$AE87), INDEX($AO$12:$AU$35,,$AD87), 1 / ($AW$12:$AW$35*CM87), N($AK$12:$AK$35&gt;$AI87))
) / 1000</f>
        <v>0</v>
      </c>
      <c r="CP87" s="46">
        <f t="shared" si="80"/>
        <v>0</v>
      </c>
      <c r="CQ87" s="20"/>
    </row>
    <row r="88" spans="1:95" s="95" customFormat="1" ht="14.25" customHeight="1" x14ac:dyDescent="0.25">
      <c r="A88" s="36" t="b">
        <f t="shared" si="44"/>
        <v>0</v>
      </c>
      <c r="B88" s="94">
        <v>77</v>
      </c>
      <c r="C88" s="7"/>
      <c r="D88" s="7"/>
      <c r="E88" s="33"/>
      <c r="F88" s="8" t="str">
        <f>IF(ISBLANK(E88), "", VLOOKUP(E88, Z!$A$2:$C$4127, 3, FALSE))</f>
        <v/>
      </c>
      <c r="G88" s="44"/>
      <c r="H88" s="44"/>
      <c r="I88" s="107"/>
      <c r="J88" s="108"/>
      <c r="K88" s="34"/>
      <c r="L88" s="59"/>
      <c r="M88" s="58" t="str" cm="1">
        <f t="array" ref="M88">IF($K88&gt;0, INDEX(Clean,1+AG88,$B$1), "")</f>
        <v/>
      </c>
      <c r="N88" s="62"/>
      <c r="O88" s="62"/>
      <c r="P88" s="63"/>
      <c r="Q88" s="52">
        <f t="shared" si="50"/>
        <v>0</v>
      </c>
      <c r="R88" s="58" t="str" cm="1">
        <f t="array" ref="R88">IF($K88&gt;0, INDEX(Clean,1+AH88,$B$1), "")</f>
        <v/>
      </c>
      <c r="S88" s="62"/>
      <c r="T88" s="62"/>
      <c r="U88" s="63"/>
      <c r="V88" s="52">
        <f t="shared" si="51"/>
        <v>0</v>
      </c>
      <c r="W88" s="6"/>
      <c r="X88" s="7"/>
      <c r="Y88" s="33"/>
      <c r="Z88" s="8" t="str">
        <f>IF(ISBLANK(Y88), "", VLOOKUP(Y88, Z!$A$2:$C$4127, 3, FALSE))</f>
        <v/>
      </c>
      <c r="AA88" s="38"/>
      <c r="AB88" s="9">
        <f t="shared" si="45"/>
        <v>0</v>
      </c>
      <c r="AC88" s="20"/>
      <c r="AD88" s="41">
        <f t="shared" si="46"/>
        <v>1</v>
      </c>
      <c r="AE88" s="41">
        <f t="shared" si="47"/>
        <v>1</v>
      </c>
      <c r="AF88" s="41">
        <f t="shared" si="48"/>
        <v>0</v>
      </c>
      <c r="AG88" s="41">
        <v>1</v>
      </c>
      <c r="AH88" s="41">
        <v>0</v>
      </c>
      <c r="AI88" s="41">
        <f t="shared" si="49"/>
        <v>-100</v>
      </c>
      <c r="AJ88" s="20"/>
      <c r="AK88" s="45"/>
      <c r="AL88" s="45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15"/>
      <c r="AY88" s="41" cm="1">
        <f t="array" ref="AY88">INDEX(Use, $AD88, 4)</f>
        <v>7</v>
      </c>
      <c r="AZ88" s="41">
        <f t="shared" si="52"/>
        <v>32</v>
      </c>
      <c r="BA88" s="41">
        <f t="shared" si="53"/>
        <v>13</v>
      </c>
      <c r="BB88" s="41">
        <f t="shared" si="54"/>
        <v>0</v>
      </c>
      <c r="BC88" s="57" cm="1">
        <f t="array" ref="BC88">K88/IF($L88&gt;0, INDEX($AO$12:$AU$66, $L88+20, $AD88), 1)</f>
        <v>0</v>
      </c>
      <c r="BD88" s="46">
        <f t="shared" si="55"/>
        <v>0</v>
      </c>
      <c r="BE88" s="41">
        <v>35</v>
      </c>
      <c r="BF88" s="46">
        <f t="shared" si="56"/>
        <v>52.55</v>
      </c>
      <c r="BG88" s="49">
        <f t="shared" si="57"/>
        <v>2.7676728869374316</v>
      </c>
      <c r="BH88" s="49" cm="1">
        <f t="array" ref="BH88">$BC88 * SUMPRODUCT(INDEX($AL$66:$AN$71,,$AE88),INDEX($AO$66:$AU$71,,$AD88), N($AK$66:$AK$71&gt;$AI88)) / BG88 / 1000</f>
        <v>0</v>
      </c>
      <c r="BI88" s="50">
        <f t="shared" si="58"/>
        <v>30</v>
      </c>
      <c r="BJ88" s="46">
        <f t="shared" si="59"/>
        <v>46.033333333333331</v>
      </c>
      <c r="BK88" s="49">
        <f t="shared" si="60"/>
        <v>3.2297395388556791</v>
      </c>
      <c r="BL88" s="49" cm="1">
        <f t="array" ref="BL88">$BC88 * IF($AD88&lt;=2,
SUMPRODUCT(INDEX($AL$61:$AN$65,,$AE88), INDEX($AO$61:$AU$65,,$AD88), 1 / ($AV$61:$AV$65*BK88 + (1-$AV$61:$AV$65)*BG88), N($AK$61:$AK$65&gt;$AI88)),
SUMPRODUCT(INDEX($AL$56:$AN$65,,$AE88), INDEX($AO$56:$AU$65,,$AD88), 1 / ($AW$56:$AW$65*BK88 + (1-$AW$56:$AW$65)*BG88), N($AK$56:$AK$65&gt;$AI88))
) / 1000</f>
        <v>0</v>
      </c>
      <c r="BM88" s="50">
        <f t="shared" si="61"/>
        <v>25</v>
      </c>
      <c r="BN88" s="46">
        <f t="shared" si="62"/>
        <v>39.516666666666666</v>
      </c>
      <c r="BO88" s="49">
        <f t="shared" si="63"/>
        <v>3.877011788826243</v>
      </c>
      <c r="BP88" s="49" cm="1">
        <f t="array" ref="BP88">$BC88 * IF($AD88&lt;=2,
SUMPRODUCT(INDEX($AL$56:$AN$60,,$AE88), INDEX($AO$56:$AU$60,,$AD88), 1 / ($AV$56:$AV$60*BO88 + (1-$AV$56:$AV$60)*BK88), N($AK$56:$AK$60&gt;$AI88)),
SUMPRODUCT(INDEX($AL$46:$AN$55,,$AE88), INDEX($AO$46:$AU$55,,$AD88), 1 / ($AW$46:$AW$55*BO88 + (1-$AW$46:$AW$55)*BK88), N($AK$46:$AK$55&gt;$AI88))
) / 1000</f>
        <v>0</v>
      </c>
      <c r="BQ88" s="50">
        <f t="shared" si="64"/>
        <v>20</v>
      </c>
      <c r="BR88" s="46">
        <f t="shared" si="65"/>
        <v>33</v>
      </c>
      <c r="BS88" s="49">
        <f t="shared" si="66"/>
        <v>4.8487499999999999</v>
      </c>
      <c r="BT88" s="49" cm="1">
        <f t="array" ref="BT88">$BC88 * IF($AD88&lt;=2,
SUMPRODUCT(INDEX($AL$51:$AN$55,,$AE88), INDEX($AO$51:$AU$55,,$AD88), 1 / ($AV$51:$AV$55*BS88 + (1-$AV$51:$AV$55)*BO88), N($AK$51:$AK$55&gt;$AI88)),
SUMPRODUCT(INDEX($AL$36:$AN$45,,$AE88), INDEX($AO$36:$AU$45,,$AD88), 1 / ($AW$36:$AW$45*BS88 + (1-$AW$36:$AW$45)*BO88), N($AK$36:$AK$45&gt;$AI88))
) / 1000</f>
        <v>0</v>
      </c>
      <c r="BU88" s="49" cm="1">
        <f t="array" ref="BU88">$BC88 * IF($AD88&lt;=2,
SUMPRODUCT(INDEX($AL$12:$AN$50,,$AE88), INDEX($AO$12:$AU$50,,$AD88), 1 / ($AV$12:$AV$50*BS88), N($AK$12:$AK$50&gt;$AI88)),
SUMPRODUCT(INDEX($AL$12:$AN$35,,$AE88), INDEX($AO$12:$AU$35,,$AD88), 1 / ($AW$12:$AW$35*BS88), N($AK$12:$AK$35&gt;$AI88))
) / 1000</f>
        <v>0</v>
      </c>
      <c r="BV88" s="46">
        <f t="shared" si="67"/>
        <v>0</v>
      </c>
      <c r="BW88" s="20"/>
      <c r="BX88" s="46">
        <f t="shared" si="68"/>
        <v>0</v>
      </c>
      <c r="BY88" s="41">
        <v>35</v>
      </c>
      <c r="BZ88" s="46">
        <f t="shared" si="69"/>
        <v>48</v>
      </c>
      <c r="CA88" s="49">
        <f t="shared" si="70"/>
        <v>3.0748170731707316</v>
      </c>
      <c r="CB88" s="49" cm="1">
        <f t="array" ref="CB88">$BC88 * SUMPRODUCT(INDEX($AL$66:$AN$71,,$AE88),INDEX($AO$66:$AU$71,,$AD88), N($AK$66:$AK$71&gt;$AI88)) / CA88 / 1000</f>
        <v>0</v>
      </c>
      <c r="CC88" s="50">
        <f t="shared" si="71"/>
        <v>30</v>
      </c>
      <c r="CD88" s="46">
        <f t="shared" si="72"/>
        <v>43</v>
      </c>
      <c r="CE88" s="49">
        <f t="shared" si="73"/>
        <v>3.5018750000000001</v>
      </c>
      <c r="CF88" s="49" cm="1">
        <f t="array" ref="CF88">$BC88 * IF($AD88&lt;=2,
SUMPRODUCT(INDEX($AL$61:$AN$65,,$AE88), INDEX($AO$61:$AU$65,,$AD88), 1 / ($AV$61:$AV$65*CE88 + (1-$AV$61:$AV$65)*CA88), N($AK$61:$AK$65&gt;$AI88)),
SUMPRODUCT(INDEX($AL$56:$AN$65,,$AE88), INDEX($AO$56:$AU$65,,$AD88), 1 / ($AW$56:$AW$65*CE88 + (1-$AW$56:$AW$65)*CA88), N($AK$56:$AK$65&gt;$AI88))
) / 1000</f>
        <v>0</v>
      </c>
      <c r="CG88" s="50">
        <f t="shared" si="74"/>
        <v>25</v>
      </c>
      <c r="CH88" s="46">
        <f t="shared" si="75"/>
        <v>38</v>
      </c>
      <c r="CI88" s="49">
        <f t="shared" si="76"/>
        <v>4.0666935483870965</v>
      </c>
      <c r="CJ88" s="49" cm="1">
        <f t="array" ref="CJ88">$BC88 * IF($AD88&lt;=2,
SUMPRODUCT(INDEX($AL$56:$AN$60,,$AE88), INDEX($AO$56:$AU$60,,$AD88), 1 / ($AV$56:$AV$60*CI88 + (1-$AV$56:$AV$60)*CE88), N($AK$56:$AK$60&gt;$AI88)),
SUMPRODUCT(INDEX($AL$46:$AN$55,,$AE88), INDEX($AO$46:$AU$55,,$AD88), 1 / ($AW$46:$AW$55*CI88 + (1-$AW$46:$AW$55)*CE88), N($AK$46:$AK$55&gt;$AI88))
) / 1000</f>
        <v>0</v>
      </c>
      <c r="CK88" s="50">
        <f t="shared" si="77"/>
        <v>20</v>
      </c>
      <c r="CL88" s="46">
        <f t="shared" si="78"/>
        <v>33</v>
      </c>
      <c r="CM88" s="49">
        <f t="shared" si="79"/>
        <v>4.8487499999999999</v>
      </c>
      <c r="CN88" s="49" cm="1">
        <f t="array" ref="CN88">$BC88 * IF($AD88&lt;=2,
SUMPRODUCT(INDEX($AL$51:$AN$55,,$AE88), INDEX($AO$51:$AU$55,,$AD88), 1 / ($AV$51:$AV$55*CM88 + (1-$AV$51:$AV$55)*CI88), N($AK$51:$AK$55&gt;$AI88)),
SUMPRODUCT(INDEX($AL$36:$AN$45,,$AE88), INDEX($AO$36:$AU$45,,$AD88), 1 / ($AW$36:$AW$45*CM88 + (1-$AW$36:$AW$45)*CI88), N($AK$36:$AK$45&gt;$AI88))
) / 1000</f>
        <v>0</v>
      </c>
      <c r="CO88" s="49" cm="1">
        <f t="array" ref="CO88">$BC88 * IF($AD88&lt;=2,
SUMPRODUCT(INDEX($AL$12:$AN$50,,$AE88), INDEX($AO$12:$AU$50,,$AD88), 1 / ($AV$12:$AV$50*CM88), N($AK$12:$AK$50&gt;$AI88)),
SUMPRODUCT(INDEX($AL$12:$AN$35,,$AE88), INDEX($AO$12:$AU$35,,$AD88), 1 / ($AW$12:$AW$35*CM88), N($AK$12:$AK$35&gt;$AI88))
) / 1000</f>
        <v>0</v>
      </c>
      <c r="CP88" s="46">
        <f t="shared" si="80"/>
        <v>0</v>
      </c>
      <c r="CQ88" s="20"/>
    </row>
    <row r="89" spans="1:95" s="95" customFormat="1" ht="14.25" customHeight="1" x14ac:dyDescent="0.25">
      <c r="A89" s="36" t="b">
        <f t="shared" si="44"/>
        <v>0</v>
      </c>
      <c r="B89" s="94">
        <v>78</v>
      </c>
      <c r="C89" s="7"/>
      <c r="D89" s="7"/>
      <c r="E89" s="33"/>
      <c r="F89" s="8" t="str">
        <f>IF(ISBLANK(E89), "", VLOOKUP(E89, Z!$A$2:$C$4127, 3, FALSE))</f>
        <v/>
      </c>
      <c r="G89" s="44"/>
      <c r="H89" s="44"/>
      <c r="I89" s="107"/>
      <c r="J89" s="108"/>
      <c r="K89" s="34"/>
      <c r="L89" s="59"/>
      <c r="M89" s="58" t="str" cm="1">
        <f t="array" ref="M89">IF($K89&gt;0, INDEX(Clean,1+AG89,$B$1), "")</f>
        <v/>
      </c>
      <c r="N89" s="62"/>
      <c r="O89" s="62"/>
      <c r="P89" s="63"/>
      <c r="Q89" s="52">
        <f t="shared" si="50"/>
        <v>0</v>
      </c>
      <c r="R89" s="58" t="str" cm="1">
        <f t="array" ref="R89">IF($K89&gt;0, INDEX(Clean,1+AH89,$B$1), "")</f>
        <v/>
      </c>
      <c r="S89" s="62"/>
      <c r="T89" s="62"/>
      <c r="U89" s="63"/>
      <c r="V89" s="52">
        <f t="shared" si="51"/>
        <v>0</v>
      </c>
      <c r="W89" s="6"/>
      <c r="X89" s="7"/>
      <c r="Y89" s="33"/>
      <c r="Z89" s="8" t="str">
        <f>IF(ISBLANK(Y89), "", VLOOKUP(Y89, Z!$A$2:$C$4127, 3, FALSE))</f>
        <v/>
      </c>
      <c r="AA89" s="38"/>
      <c r="AB89" s="9">
        <f t="shared" si="45"/>
        <v>0</v>
      </c>
      <c r="AC89" s="20"/>
      <c r="AD89" s="41">
        <f t="shared" si="46"/>
        <v>1</v>
      </c>
      <c r="AE89" s="41">
        <f t="shared" si="47"/>
        <v>1</v>
      </c>
      <c r="AF89" s="41">
        <f t="shared" si="48"/>
        <v>0</v>
      </c>
      <c r="AG89" s="41">
        <v>1</v>
      </c>
      <c r="AH89" s="41">
        <v>0</v>
      </c>
      <c r="AI89" s="41">
        <f t="shared" si="49"/>
        <v>-100</v>
      </c>
      <c r="AJ89" s="20"/>
      <c r="AK89" s="45"/>
      <c r="AL89" s="45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15"/>
      <c r="AY89" s="41" cm="1">
        <f t="array" ref="AY89">INDEX(Use, $AD89, 4)</f>
        <v>7</v>
      </c>
      <c r="AZ89" s="41">
        <f t="shared" si="52"/>
        <v>32</v>
      </c>
      <c r="BA89" s="41">
        <f t="shared" si="53"/>
        <v>13</v>
      </c>
      <c r="BB89" s="41">
        <f t="shared" si="54"/>
        <v>0</v>
      </c>
      <c r="BC89" s="57" cm="1">
        <f t="array" ref="BC89">K89/IF($L89&gt;0, INDEX($AO$12:$AU$66, $L89+20, $AD89), 1)</f>
        <v>0</v>
      </c>
      <c r="BD89" s="46">
        <f t="shared" si="55"/>
        <v>0</v>
      </c>
      <c r="BE89" s="41">
        <v>35</v>
      </c>
      <c r="BF89" s="46">
        <f t="shared" si="56"/>
        <v>52.55</v>
      </c>
      <c r="BG89" s="49">
        <f t="shared" si="57"/>
        <v>2.7676728869374316</v>
      </c>
      <c r="BH89" s="49" cm="1">
        <f t="array" ref="BH89">$BC89 * SUMPRODUCT(INDEX($AL$66:$AN$71,,$AE89),INDEX($AO$66:$AU$71,,$AD89), N($AK$66:$AK$71&gt;$AI89)) / BG89 / 1000</f>
        <v>0</v>
      </c>
      <c r="BI89" s="50">
        <f t="shared" si="58"/>
        <v>30</v>
      </c>
      <c r="BJ89" s="46">
        <f t="shared" si="59"/>
        <v>46.033333333333331</v>
      </c>
      <c r="BK89" s="49">
        <f t="shared" si="60"/>
        <v>3.2297395388556791</v>
      </c>
      <c r="BL89" s="49" cm="1">
        <f t="array" ref="BL89">$BC89 * IF($AD89&lt;=2,
SUMPRODUCT(INDEX($AL$61:$AN$65,,$AE89), INDEX($AO$61:$AU$65,,$AD89), 1 / ($AV$61:$AV$65*BK89 + (1-$AV$61:$AV$65)*BG89), N($AK$61:$AK$65&gt;$AI89)),
SUMPRODUCT(INDEX($AL$56:$AN$65,,$AE89), INDEX($AO$56:$AU$65,,$AD89), 1 / ($AW$56:$AW$65*BK89 + (1-$AW$56:$AW$65)*BG89), N($AK$56:$AK$65&gt;$AI89))
) / 1000</f>
        <v>0</v>
      </c>
      <c r="BM89" s="50">
        <f t="shared" si="61"/>
        <v>25</v>
      </c>
      <c r="BN89" s="46">
        <f t="shared" si="62"/>
        <v>39.516666666666666</v>
      </c>
      <c r="BO89" s="49">
        <f t="shared" si="63"/>
        <v>3.877011788826243</v>
      </c>
      <c r="BP89" s="49" cm="1">
        <f t="array" ref="BP89">$BC89 * IF($AD89&lt;=2,
SUMPRODUCT(INDEX($AL$56:$AN$60,,$AE89), INDEX($AO$56:$AU$60,,$AD89), 1 / ($AV$56:$AV$60*BO89 + (1-$AV$56:$AV$60)*BK89), N($AK$56:$AK$60&gt;$AI89)),
SUMPRODUCT(INDEX($AL$46:$AN$55,,$AE89), INDEX($AO$46:$AU$55,,$AD89), 1 / ($AW$46:$AW$55*BO89 + (1-$AW$46:$AW$55)*BK89), N($AK$46:$AK$55&gt;$AI89))
) / 1000</f>
        <v>0</v>
      </c>
      <c r="BQ89" s="50">
        <f t="shared" si="64"/>
        <v>20</v>
      </c>
      <c r="BR89" s="46">
        <f t="shared" si="65"/>
        <v>33</v>
      </c>
      <c r="BS89" s="49">
        <f t="shared" si="66"/>
        <v>4.8487499999999999</v>
      </c>
      <c r="BT89" s="49" cm="1">
        <f t="array" ref="BT89">$BC89 * IF($AD89&lt;=2,
SUMPRODUCT(INDEX($AL$51:$AN$55,,$AE89), INDEX($AO$51:$AU$55,,$AD89), 1 / ($AV$51:$AV$55*BS89 + (1-$AV$51:$AV$55)*BO89), N($AK$51:$AK$55&gt;$AI89)),
SUMPRODUCT(INDEX($AL$36:$AN$45,,$AE89), INDEX($AO$36:$AU$45,,$AD89), 1 / ($AW$36:$AW$45*BS89 + (1-$AW$36:$AW$45)*BO89), N($AK$36:$AK$45&gt;$AI89))
) / 1000</f>
        <v>0</v>
      </c>
      <c r="BU89" s="49" cm="1">
        <f t="array" ref="BU89">$BC89 * IF($AD89&lt;=2,
SUMPRODUCT(INDEX($AL$12:$AN$50,,$AE89), INDEX($AO$12:$AU$50,,$AD89), 1 / ($AV$12:$AV$50*BS89), N($AK$12:$AK$50&gt;$AI89)),
SUMPRODUCT(INDEX($AL$12:$AN$35,,$AE89), INDEX($AO$12:$AU$35,,$AD89), 1 / ($AW$12:$AW$35*BS89), N($AK$12:$AK$35&gt;$AI89))
) / 1000</f>
        <v>0</v>
      </c>
      <c r="BV89" s="46">
        <f t="shared" si="67"/>
        <v>0</v>
      </c>
      <c r="BW89" s="20"/>
      <c r="BX89" s="46">
        <f t="shared" si="68"/>
        <v>0</v>
      </c>
      <c r="BY89" s="41">
        <v>35</v>
      </c>
      <c r="BZ89" s="46">
        <f t="shared" si="69"/>
        <v>48</v>
      </c>
      <c r="CA89" s="49">
        <f t="shared" si="70"/>
        <v>3.0748170731707316</v>
      </c>
      <c r="CB89" s="49" cm="1">
        <f t="array" ref="CB89">$BC89 * SUMPRODUCT(INDEX($AL$66:$AN$71,,$AE89),INDEX($AO$66:$AU$71,,$AD89), N($AK$66:$AK$71&gt;$AI89)) / CA89 / 1000</f>
        <v>0</v>
      </c>
      <c r="CC89" s="50">
        <f t="shared" si="71"/>
        <v>30</v>
      </c>
      <c r="CD89" s="46">
        <f t="shared" si="72"/>
        <v>43</v>
      </c>
      <c r="CE89" s="49">
        <f t="shared" si="73"/>
        <v>3.5018750000000001</v>
      </c>
      <c r="CF89" s="49" cm="1">
        <f t="array" ref="CF89">$BC89 * IF($AD89&lt;=2,
SUMPRODUCT(INDEX($AL$61:$AN$65,,$AE89), INDEX($AO$61:$AU$65,,$AD89), 1 / ($AV$61:$AV$65*CE89 + (1-$AV$61:$AV$65)*CA89), N($AK$61:$AK$65&gt;$AI89)),
SUMPRODUCT(INDEX($AL$56:$AN$65,,$AE89), INDEX($AO$56:$AU$65,,$AD89), 1 / ($AW$56:$AW$65*CE89 + (1-$AW$56:$AW$65)*CA89), N($AK$56:$AK$65&gt;$AI89))
) / 1000</f>
        <v>0</v>
      </c>
      <c r="CG89" s="50">
        <f t="shared" si="74"/>
        <v>25</v>
      </c>
      <c r="CH89" s="46">
        <f t="shared" si="75"/>
        <v>38</v>
      </c>
      <c r="CI89" s="49">
        <f t="shared" si="76"/>
        <v>4.0666935483870965</v>
      </c>
      <c r="CJ89" s="49" cm="1">
        <f t="array" ref="CJ89">$BC89 * IF($AD89&lt;=2,
SUMPRODUCT(INDEX($AL$56:$AN$60,,$AE89), INDEX($AO$56:$AU$60,,$AD89), 1 / ($AV$56:$AV$60*CI89 + (1-$AV$56:$AV$60)*CE89), N($AK$56:$AK$60&gt;$AI89)),
SUMPRODUCT(INDEX($AL$46:$AN$55,,$AE89), INDEX($AO$46:$AU$55,,$AD89), 1 / ($AW$46:$AW$55*CI89 + (1-$AW$46:$AW$55)*CE89), N($AK$46:$AK$55&gt;$AI89))
) / 1000</f>
        <v>0</v>
      </c>
      <c r="CK89" s="50">
        <f t="shared" si="77"/>
        <v>20</v>
      </c>
      <c r="CL89" s="46">
        <f t="shared" si="78"/>
        <v>33</v>
      </c>
      <c r="CM89" s="49">
        <f t="shared" si="79"/>
        <v>4.8487499999999999</v>
      </c>
      <c r="CN89" s="49" cm="1">
        <f t="array" ref="CN89">$BC89 * IF($AD89&lt;=2,
SUMPRODUCT(INDEX($AL$51:$AN$55,,$AE89), INDEX($AO$51:$AU$55,,$AD89), 1 / ($AV$51:$AV$55*CM89 + (1-$AV$51:$AV$55)*CI89), N($AK$51:$AK$55&gt;$AI89)),
SUMPRODUCT(INDEX($AL$36:$AN$45,,$AE89), INDEX($AO$36:$AU$45,,$AD89), 1 / ($AW$36:$AW$45*CM89 + (1-$AW$36:$AW$45)*CI89), N($AK$36:$AK$45&gt;$AI89))
) / 1000</f>
        <v>0</v>
      </c>
      <c r="CO89" s="49" cm="1">
        <f t="array" ref="CO89">$BC89 * IF($AD89&lt;=2,
SUMPRODUCT(INDEX($AL$12:$AN$50,,$AE89), INDEX($AO$12:$AU$50,,$AD89), 1 / ($AV$12:$AV$50*CM89), N($AK$12:$AK$50&gt;$AI89)),
SUMPRODUCT(INDEX($AL$12:$AN$35,,$AE89), INDEX($AO$12:$AU$35,,$AD89), 1 / ($AW$12:$AW$35*CM89), N($AK$12:$AK$35&gt;$AI89))
) / 1000</f>
        <v>0</v>
      </c>
      <c r="CP89" s="46">
        <f t="shared" si="80"/>
        <v>0</v>
      </c>
      <c r="CQ89" s="20"/>
    </row>
    <row r="90" spans="1:95" s="95" customFormat="1" ht="14.25" customHeight="1" x14ac:dyDescent="0.25">
      <c r="A90" s="36" t="b">
        <f t="shared" si="44"/>
        <v>0</v>
      </c>
      <c r="B90" s="94">
        <v>79</v>
      </c>
      <c r="C90" s="7"/>
      <c r="D90" s="7"/>
      <c r="E90" s="33"/>
      <c r="F90" s="8" t="str">
        <f>IF(ISBLANK(E90), "", VLOOKUP(E90, Z!$A$2:$C$4127, 3, FALSE))</f>
        <v/>
      </c>
      <c r="G90" s="44"/>
      <c r="H90" s="44"/>
      <c r="I90" s="107"/>
      <c r="J90" s="108"/>
      <c r="K90" s="34"/>
      <c r="L90" s="59"/>
      <c r="M90" s="58" t="str" cm="1">
        <f t="array" ref="M90">IF($K90&gt;0, INDEX(Clean,1+AG90,$B$1), "")</f>
        <v/>
      </c>
      <c r="N90" s="62"/>
      <c r="O90" s="62"/>
      <c r="P90" s="63"/>
      <c r="Q90" s="52">
        <f t="shared" si="50"/>
        <v>0</v>
      </c>
      <c r="R90" s="58" t="str" cm="1">
        <f t="array" ref="R90">IF($K90&gt;0, INDEX(Clean,1+AH90,$B$1), "")</f>
        <v/>
      </c>
      <c r="S90" s="62"/>
      <c r="T90" s="62"/>
      <c r="U90" s="63"/>
      <c r="V90" s="52">
        <f t="shared" si="51"/>
        <v>0</v>
      </c>
      <c r="W90" s="6"/>
      <c r="X90" s="7"/>
      <c r="Y90" s="33"/>
      <c r="Z90" s="8" t="str">
        <f>IF(ISBLANK(Y90), "", VLOOKUP(Y90, Z!$A$2:$C$4127, 3, FALSE))</f>
        <v/>
      </c>
      <c r="AA90" s="38"/>
      <c r="AB90" s="9">
        <f t="shared" si="45"/>
        <v>0</v>
      </c>
      <c r="AC90" s="20"/>
      <c r="AD90" s="41">
        <f t="shared" si="46"/>
        <v>1</v>
      </c>
      <c r="AE90" s="41">
        <f t="shared" si="47"/>
        <v>1</v>
      </c>
      <c r="AF90" s="41">
        <f t="shared" si="48"/>
        <v>0</v>
      </c>
      <c r="AG90" s="41">
        <v>1</v>
      </c>
      <c r="AH90" s="41">
        <v>0</v>
      </c>
      <c r="AI90" s="41">
        <f t="shared" si="49"/>
        <v>-100</v>
      </c>
      <c r="AJ90" s="20"/>
      <c r="AK90" s="45"/>
      <c r="AL90" s="45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15"/>
      <c r="AY90" s="41" cm="1">
        <f t="array" ref="AY90">INDEX(Use, $AD90, 4)</f>
        <v>7</v>
      </c>
      <c r="AZ90" s="41">
        <f t="shared" si="52"/>
        <v>32</v>
      </c>
      <c r="BA90" s="41">
        <f t="shared" si="53"/>
        <v>13</v>
      </c>
      <c r="BB90" s="41">
        <f t="shared" si="54"/>
        <v>0</v>
      </c>
      <c r="BC90" s="57" cm="1">
        <f t="array" ref="BC90">K90/IF($L90&gt;0, INDEX($AO$12:$AU$66, $L90+20, $AD90), 1)</f>
        <v>0</v>
      </c>
      <c r="BD90" s="46">
        <f t="shared" si="55"/>
        <v>0</v>
      </c>
      <c r="BE90" s="41">
        <v>35</v>
      </c>
      <c r="BF90" s="46">
        <f t="shared" si="56"/>
        <v>52.55</v>
      </c>
      <c r="BG90" s="49">
        <f t="shared" si="57"/>
        <v>2.7676728869374316</v>
      </c>
      <c r="BH90" s="49" cm="1">
        <f t="array" ref="BH90">$BC90 * SUMPRODUCT(INDEX($AL$66:$AN$71,,$AE90),INDEX($AO$66:$AU$71,,$AD90), N($AK$66:$AK$71&gt;$AI90)) / BG90 / 1000</f>
        <v>0</v>
      </c>
      <c r="BI90" s="50">
        <f t="shared" si="58"/>
        <v>30</v>
      </c>
      <c r="BJ90" s="46">
        <f t="shared" si="59"/>
        <v>46.033333333333331</v>
      </c>
      <c r="BK90" s="49">
        <f t="shared" si="60"/>
        <v>3.2297395388556791</v>
      </c>
      <c r="BL90" s="49" cm="1">
        <f t="array" ref="BL90">$BC90 * IF($AD90&lt;=2,
SUMPRODUCT(INDEX($AL$61:$AN$65,,$AE90), INDEX($AO$61:$AU$65,,$AD90), 1 / ($AV$61:$AV$65*BK90 + (1-$AV$61:$AV$65)*BG90), N($AK$61:$AK$65&gt;$AI90)),
SUMPRODUCT(INDEX($AL$56:$AN$65,,$AE90), INDEX($AO$56:$AU$65,,$AD90), 1 / ($AW$56:$AW$65*BK90 + (1-$AW$56:$AW$65)*BG90), N($AK$56:$AK$65&gt;$AI90))
) / 1000</f>
        <v>0</v>
      </c>
      <c r="BM90" s="50">
        <f t="shared" si="61"/>
        <v>25</v>
      </c>
      <c r="BN90" s="46">
        <f t="shared" si="62"/>
        <v>39.516666666666666</v>
      </c>
      <c r="BO90" s="49">
        <f t="shared" si="63"/>
        <v>3.877011788826243</v>
      </c>
      <c r="BP90" s="49" cm="1">
        <f t="array" ref="BP90">$BC90 * IF($AD90&lt;=2,
SUMPRODUCT(INDEX($AL$56:$AN$60,,$AE90), INDEX($AO$56:$AU$60,,$AD90), 1 / ($AV$56:$AV$60*BO90 + (1-$AV$56:$AV$60)*BK90), N($AK$56:$AK$60&gt;$AI90)),
SUMPRODUCT(INDEX($AL$46:$AN$55,,$AE90), INDEX($AO$46:$AU$55,,$AD90), 1 / ($AW$46:$AW$55*BO90 + (1-$AW$46:$AW$55)*BK90), N($AK$46:$AK$55&gt;$AI90))
) / 1000</f>
        <v>0</v>
      </c>
      <c r="BQ90" s="50">
        <f t="shared" si="64"/>
        <v>20</v>
      </c>
      <c r="BR90" s="46">
        <f t="shared" si="65"/>
        <v>33</v>
      </c>
      <c r="BS90" s="49">
        <f t="shared" si="66"/>
        <v>4.8487499999999999</v>
      </c>
      <c r="BT90" s="49" cm="1">
        <f t="array" ref="BT90">$BC90 * IF($AD90&lt;=2,
SUMPRODUCT(INDEX($AL$51:$AN$55,,$AE90), INDEX($AO$51:$AU$55,,$AD90), 1 / ($AV$51:$AV$55*BS90 + (1-$AV$51:$AV$55)*BO90), N($AK$51:$AK$55&gt;$AI90)),
SUMPRODUCT(INDEX($AL$36:$AN$45,,$AE90), INDEX($AO$36:$AU$45,,$AD90), 1 / ($AW$36:$AW$45*BS90 + (1-$AW$36:$AW$45)*BO90), N($AK$36:$AK$45&gt;$AI90))
) / 1000</f>
        <v>0</v>
      </c>
      <c r="BU90" s="49" cm="1">
        <f t="array" ref="BU90">$BC90 * IF($AD90&lt;=2,
SUMPRODUCT(INDEX($AL$12:$AN$50,,$AE90), INDEX($AO$12:$AU$50,,$AD90), 1 / ($AV$12:$AV$50*BS90), N($AK$12:$AK$50&gt;$AI90)),
SUMPRODUCT(INDEX($AL$12:$AN$35,,$AE90), INDEX($AO$12:$AU$35,,$AD90), 1 / ($AW$12:$AW$35*BS90), N($AK$12:$AK$35&gt;$AI90))
) / 1000</f>
        <v>0</v>
      </c>
      <c r="BV90" s="46">
        <f t="shared" si="67"/>
        <v>0</v>
      </c>
      <c r="BW90" s="20"/>
      <c r="BX90" s="46">
        <f t="shared" si="68"/>
        <v>0</v>
      </c>
      <c r="BY90" s="41">
        <v>35</v>
      </c>
      <c r="BZ90" s="46">
        <f t="shared" si="69"/>
        <v>48</v>
      </c>
      <c r="CA90" s="49">
        <f t="shared" si="70"/>
        <v>3.0748170731707316</v>
      </c>
      <c r="CB90" s="49" cm="1">
        <f t="array" ref="CB90">$BC90 * SUMPRODUCT(INDEX($AL$66:$AN$71,,$AE90),INDEX($AO$66:$AU$71,,$AD90), N($AK$66:$AK$71&gt;$AI90)) / CA90 / 1000</f>
        <v>0</v>
      </c>
      <c r="CC90" s="50">
        <f t="shared" si="71"/>
        <v>30</v>
      </c>
      <c r="CD90" s="46">
        <f t="shared" si="72"/>
        <v>43</v>
      </c>
      <c r="CE90" s="49">
        <f t="shared" si="73"/>
        <v>3.5018750000000001</v>
      </c>
      <c r="CF90" s="49" cm="1">
        <f t="array" ref="CF90">$BC90 * IF($AD90&lt;=2,
SUMPRODUCT(INDEX($AL$61:$AN$65,,$AE90), INDEX($AO$61:$AU$65,,$AD90), 1 / ($AV$61:$AV$65*CE90 + (1-$AV$61:$AV$65)*CA90), N($AK$61:$AK$65&gt;$AI90)),
SUMPRODUCT(INDEX($AL$56:$AN$65,,$AE90), INDEX($AO$56:$AU$65,,$AD90), 1 / ($AW$56:$AW$65*CE90 + (1-$AW$56:$AW$65)*CA90), N($AK$56:$AK$65&gt;$AI90))
) / 1000</f>
        <v>0</v>
      </c>
      <c r="CG90" s="50">
        <f t="shared" si="74"/>
        <v>25</v>
      </c>
      <c r="CH90" s="46">
        <f t="shared" si="75"/>
        <v>38</v>
      </c>
      <c r="CI90" s="49">
        <f t="shared" si="76"/>
        <v>4.0666935483870965</v>
      </c>
      <c r="CJ90" s="49" cm="1">
        <f t="array" ref="CJ90">$BC90 * IF($AD90&lt;=2,
SUMPRODUCT(INDEX($AL$56:$AN$60,,$AE90), INDEX($AO$56:$AU$60,,$AD90), 1 / ($AV$56:$AV$60*CI90 + (1-$AV$56:$AV$60)*CE90), N($AK$56:$AK$60&gt;$AI90)),
SUMPRODUCT(INDEX($AL$46:$AN$55,,$AE90), INDEX($AO$46:$AU$55,,$AD90), 1 / ($AW$46:$AW$55*CI90 + (1-$AW$46:$AW$55)*CE90), N($AK$46:$AK$55&gt;$AI90))
) / 1000</f>
        <v>0</v>
      </c>
      <c r="CK90" s="50">
        <f t="shared" si="77"/>
        <v>20</v>
      </c>
      <c r="CL90" s="46">
        <f t="shared" si="78"/>
        <v>33</v>
      </c>
      <c r="CM90" s="49">
        <f t="shared" si="79"/>
        <v>4.8487499999999999</v>
      </c>
      <c r="CN90" s="49" cm="1">
        <f t="array" ref="CN90">$BC90 * IF($AD90&lt;=2,
SUMPRODUCT(INDEX($AL$51:$AN$55,,$AE90), INDEX($AO$51:$AU$55,,$AD90), 1 / ($AV$51:$AV$55*CM90 + (1-$AV$51:$AV$55)*CI90), N($AK$51:$AK$55&gt;$AI90)),
SUMPRODUCT(INDEX($AL$36:$AN$45,,$AE90), INDEX($AO$36:$AU$45,,$AD90), 1 / ($AW$36:$AW$45*CM90 + (1-$AW$36:$AW$45)*CI90), N($AK$36:$AK$45&gt;$AI90))
) / 1000</f>
        <v>0</v>
      </c>
      <c r="CO90" s="49" cm="1">
        <f t="array" ref="CO90">$BC90 * IF($AD90&lt;=2,
SUMPRODUCT(INDEX($AL$12:$AN$50,,$AE90), INDEX($AO$12:$AU$50,,$AD90), 1 / ($AV$12:$AV$50*CM90), N($AK$12:$AK$50&gt;$AI90)),
SUMPRODUCT(INDEX($AL$12:$AN$35,,$AE90), INDEX($AO$12:$AU$35,,$AD90), 1 / ($AW$12:$AW$35*CM90), N($AK$12:$AK$35&gt;$AI90))
) / 1000</f>
        <v>0</v>
      </c>
      <c r="CP90" s="46">
        <f t="shared" si="80"/>
        <v>0</v>
      </c>
      <c r="CQ90" s="20"/>
    </row>
    <row r="91" spans="1:95" s="95" customFormat="1" ht="14.25" customHeight="1" x14ac:dyDescent="0.25">
      <c r="A91" s="36" t="b">
        <f t="shared" si="44"/>
        <v>0</v>
      </c>
      <c r="B91" s="94">
        <v>80</v>
      </c>
      <c r="C91" s="7"/>
      <c r="D91" s="7"/>
      <c r="E91" s="33"/>
      <c r="F91" s="8" t="str">
        <f>IF(ISBLANK(E91), "", VLOOKUP(E91, Z!$A$2:$C$4127, 3, FALSE))</f>
        <v/>
      </c>
      <c r="G91" s="44"/>
      <c r="H91" s="44"/>
      <c r="I91" s="107"/>
      <c r="J91" s="108"/>
      <c r="K91" s="34"/>
      <c r="L91" s="59"/>
      <c r="M91" s="58" t="str" cm="1">
        <f t="array" ref="M91">IF($K91&gt;0, INDEX(Clean,1+AG91,$B$1), "")</f>
        <v/>
      </c>
      <c r="N91" s="62"/>
      <c r="O91" s="62"/>
      <c r="P91" s="63"/>
      <c r="Q91" s="52">
        <f t="shared" si="50"/>
        <v>0</v>
      </c>
      <c r="R91" s="58" t="str" cm="1">
        <f t="array" ref="R91">IF($K91&gt;0, INDEX(Clean,1+AH91,$B$1), "")</f>
        <v/>
      </c>
      <c r="S91" s="62"/>
      <c r="T91" s="62"/>
      <c r="U91" s="63"/>
      <c r="V91" s="52">
        <f t="shared" si="51"/>
        <v>0</v>
      </c>
      <c r="W91" s="6"/>
      <c r="X91" s="7"/>
      <c r="Y91" s="33"/>
      <c r="Z91" s="8" t="str">
        <f>IF(ISBLANK(Y91), "", VLOOKUP(Y91, Z!$A$2:$C$4127, 3, FALSE))</f>
        <v/>
      </c>
      <c r="AA91" s="38"/>
      <c r="AB91" s="9">
        <f t="shared" si="45"/>
        <v>0</v>
      </c>
      <c r="AC91" s="20"/>
      <c r="AD91" s="41">
        <f t="shared" si="46"/>
        <v>1</v>
      </c>
      <c r="AE91" s="41">
        <f t="shared" si="47"/>
        <v>1</v>
      </c>
      <c r="AF91" s="41">
        <f t="shared" si="48"/>
        <v>0</v>
      </c>
      <c r="AG91" s="41">
        <v>1</v>
      </c>
      <c r="AH91" s="41">
        <v>0</v>
      </c>
      <c r="AI91" s="41">
        <f t="shared" si="49"/>
        <v>-100</v>
      </c>
      <c r="AJ91" s="20"/>
      <c r="AK91" s="45"/>
      <c r="AL91" s="45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15"/>
      <c r="AY91" s="41" cm="1">
        <f t="array" ref="AY91">INDEX(Use, $AD91, 4)</f>
        <v>7</v>
      </c>
      <c r="AZ91" s="41">
        <f t="shared" si="52"/>
        <v>32</v>
      </c>
      <c r="BA91" s="41">
        <f t="shared" si="53"/>
        <v>13</v>
      </c>
      <c r="BB91" s="41">
        <f t="shared" si="54"/>
        <v>0</v>
      </c>
      <c r="BC91" s="57" cm="1">
        <f t="array" ref="BC91">K91/IF($L91&gt;0, INDEX($AO$12:$AU$66, $L91+20, $AD91), 1)</f>
        <v>0</v>
      </c>
      <c r="BD91" s="46">
        <f t="shared" si="55"/>
        <v>0</v>
      </c>
      <c r="BE91" s="41">
        <v>35</v>
      </c>
      <c r="BF91" s="46">
        <f t="shared" si="56"/>
        <v>52.55</v>
      </c>
      <c r="BG91" s="49">
        <f t="shared" si="57"/>
        <v>2.7676728869374316</v>
      </c>
      <c r="BH91" s="49" cm="1">
        <f t="array" ref="BH91">$BC91 * SUMPRODUCT(INDEX($AL$66:$AN$71,,$AE91),INDEX($AO$66:$AU$71,,$AD91), N($AK$66:$AK$71&gt;$AI91)) / BG91 / 1000</f>
        <v>0</v>
      </c>
      <c r="BI91" s="50">
        <f t="shared" si="58"/>
        <v>30</v>
      </c>
      <c r="BJ91" s="46">
        <f t="shared" si="59"/>
        <v>46.033333333333331</v>
      </c>
      <c r="BK91" s="49">
        <f t="shared" si="60"/>
        <v>3.2297395388556791</v>
      </c>
      <c r="BL91" s="49" cm="1">
        <f t="array" ref="BL91">$BC91 * IF($AD91&lt;=2,
SUMPRODUCT(INDEX($AL$61:$AN$65,,$AE91), INDEX($AO$61:$AU$65,,$AD91), 1 / ($AV$61:$AV$65*BK91 + (1-$AV$61:$AV$65)*BG91), N($AK$61:$AK$65&gt;$AI91)),
SUMPRODUCT(INDEX($AL$56:$AN$65,,$AE91), INDEX($AO$56:$AU$65,,$AD91), 1 / ($AW$56:$AW$65*BK91 + (1-$AW$56:$AW$65)*BG91), N($AK$56:$AK$65&gt;$AI91))
) / 1000</f>
        <v>0</v>
      </c>
      <c r="BM91" s="50">
        <f t="shared" si="61"/>
        <v>25</v>
      </c>
      <c r="BN91" s="46">
        <f t="shared" si="62"/>
        <v>39.516666666666666</v>
      </c>
      <c r="BO91" s="49">
        <f t="shared" si="63"/>
        <v>3.877011788826243</v>
      </c>
      <c r="BP91" s="49" cm="1">
        <f t="array" ref="BP91">$BC91 * IF($AD91&lt;=2,
SUMPRODUCT(INDEX($AL$56:$AN$60,,$AE91), INDEX($AO$56:$AU$60,,$AD91), 1 / ($AV$56:$AV$60*BO91 + (1-$AV$56:$AV$60)*BK91), N($AK$56:$AK$60&gt;$AI91)),
SUMPRODUCT(INDEX($AL$46:$AN$55,,$AE91), INDEX($AO$46:$AU$55,,$AD91), 1 / ($AW$46:$AW$55*BO91 + (1-$AW$46:$AW$55)*BK91), N($AK$46:$AK$55&gt;$AI91))
) / 1000</f>
        <v>0</v>
      </c>
      <c r="BQ91" s="50">
        <f t="shared" si="64"/>
        <v>20</v>
      </c>
      <c r="BR91" s="46">
        <f t="shared" si="65"/>
        <v>33</v>
      </c>
      <c r="BS91" s="49">
        <f t="shared" si="66"/>
        <v>4.8487499999999999</v>
      </c>
      <c r="BT91" s="49" cm="1">
        <f t="array" ref="BT91">$BC91 * IF($AD91&lt;=2,
SUMPRODUCT(INDEX($AL$51:$AN$55,,$AE91), INDEX($AO$51:$AU$55,,$AD91), 1 / ($AV$51:$AV$55*BS91 + (1-$AV$51:$AV$55)*BO91), N($AK$51:$AK$55&gt;$AI91)),
SUMPRODUCT(INDEX($AL$36:$AN$45,,$AE91), INDEX($AO$36:$AU$45,,$AD91), 1 / ($AW$36:$AW$45*BS91 + (1-$AW$36:$AW$45)*BO91), N($AK$36:$AK$45&gt;$AI91))
) / 1000</f>
        <v>0</v>
      </c>
      <c r="BU91" s="49" cm="1">
        <f t="array" ref="BU91">$BC91 * IF($AD91&lt;=2,
SUMPRODUCT(INDEX($AL$12:$AN$50,,$AE91), INDEX($AO$12:$AU$50,,$AD91), 1 / ($AV$12:$AV$50*BS91), N($AK$12:$AK$50&gt;$AI91)),
SUMPRODUCT(INDEX($AL$12:$AN$35,,$AE91), INDEX($AO$12:$AU$35,,$AD91), 1 / ($AW$12:$AW$35*BS91), N($AK$12:$AK$35&gt;$AI91))
) / 1000</f>
        <v>0</v>
      </c>
      <c r="BV91" s="46">
        <f t="shared" si="67"/>
        <v>0</v>
      </c>
      <c r="BW91" s="20"/>
      <c r="BX91" s="46">
        <f t="shared" si="68"/>
        <v>0</v>
      </c>
      <c r="BY91" s="41">
        <v>35</v>
      </c>
      <c r="BZ91" s="46">
        <f t="shared" si="69"/>
        <v>48</v>
      </c>
      <c r="CA91" s="49">
        <f t="shared" si="70"/>
        <v>3.0748170731707316</v>
      </c>
      <c r="CB91" s="49" cm="1">
        <f t="array" ref="CB91">$BC91 * SUMPRODUCT(INDEX($AL$66:$AN$71,,$AE91),INDEX($AO$66:$AU$71,,$AD91), N($AK$66:$AK$71&gt;$AI91)) / CA91 / 1000</f>
        <v>0</v>
      </c>
      <c r="CC91" s="50">
        <f t="shared" si="71"/>
        <v>30</v>
      </c>
      <c r="CD91" s="46">
        <f t="shared" si="72"/>
        <v>43</v>
      </c>
      <c r="CE91" s="49">
        <f t="shared" si="73"/>
        <v>3.5018750000000001</v>
      </c>
      <c r="CF91" s="49" cm="1">
        <f t="array" ref="CF91">$BC91 * IF($AD91&lt;=2,
SUMPRODUCT(INDEX($AL$61:$AN$65,,$AE91), INDEX($AO$61:$AU$65,,$AD91), 1 / ($AV$61:$AV$65*CE91 + (1-$AV$61:$AV$65)*CA91), N($AK$61:$AK$65&gt;$AI91)),
SUMPRODUCT(INDEX($AL$56:$AN$65,,$AE91), INDEX($AO$56:$AU$65,,$AD91), 1 / ($AW$56:$AW$65*CE91 + (1-$AW$56:$AW$65)*CA91), N($AK$56:$AK$65&gt;$AI91))
) / 1000</f>
        <v>0</v>
      </c>
      <c r="CG91" s="50">
        <f t="shared" si="74"/>
        <v>25</v>
      </c>
      <c r="CH91" s="46">
        <f t="shared" si="75"/>
        <v>38</v>
      </c>
      <c r="CI91" s="49">
        <f t="shared" si="76"/>
        <v>4.0666935483870965</v>
      </c>
      <c r="CJ91" s="49" cm="1">
        <f t="array" ref="CJ91">$BC91 * IF($AD91&lt;=2,
SUMPRODUCT(INDEX($AL$56:$AN$60,,$AE91), INDEX($AO$56:$AU$60,,$AD91), 1 / ($AV$56:$AV$60*CI91 + (1-$AV$56:$AV$60)*CE91), N($AK$56:$AK$60&gt;$AI91)),
SUMPRODUCT(INDEX($AL$46:$AN$55,,$AE91), INDEX($AO$46:$AU$55,,$AD91), 1 / ($AW$46:$AW$55*CI91 + (1-$AW$46:$AW$55)*CE91), N($AK$46:$AK$55&gt;$AI91))
) / 1000</f>
        <v>0</v>
      </c>
      <c r="CK91" s="50">
        <f t="shared" si="77"/>
        <v>20</v>
      </c>
      <c r="CL91" s="46">
        <f t="shared" si="78"/>
        <v>33</v>
      </c>
      <c r="CM91" s="49">
        <f t="shared" si="79"/>
        <v>4.8487499999999999</v>
      </c>
      <c r="CN91" s="49" cm="1">
        <f t="array" ref="CN91">$BC91 * IF($AD91&lt;=2,
SUMPRODUCT(INDEX($AL$51:$AN$55,,$AE91), INDEX($AO$51:$AU$55,,$AD91), 1 / ($AV$51:$AV$55*CM91 + (1-$AV$51:$AV$55)*CI91), N($AK$51:$AK$55&gt;$AI91)),
SUMPRODUCT(INDEX($AL$36:$AN$45,,$AE91), INDEX($AO$36:$AU$45,,$AD91), 1 / ($AW$36:$AW$45*CM91 + (1-$AW$36:$AW$45)*CI91), N($AK$36:$AK$45&gt;$AI91))
) / 1000</f>
        <v>0</v>
      </c>
      <c r="CO91" s="49" cm="1">
        <f t="array" ref="CO91">$BC91 * IF($AD91&lt;=2,
SUMPRODUCT(INDEX($AL$12:$AN$50,,$AE91), INDEX($AO$12:$AU$50,,$AD91), 1 / ($AV$12:$AV$50*CM91), N($AK$12:$AK$50&gt;$AI91)),
SUMPRODUCT(INDEX($AL$12:$AN$35,,$AE91), INDEX($AO$12:$AU$35,,$AD91), 1 / ($AW$12:$AW$35*CM91), N($AK$12:$AK$35&gt;$AI91))
) / 1000</f>
        <v>0</v>
      </c>
      <c r="CP91" s="46">
        <f t="shared" si="80"/>
        <v>0</v>
      </c>
      <c r="CQ91" s="20"/>
    </row>
    <row r="92" spans="1:95" s="95" customFormat="1" ht="14.25" customHeight="1" x14ac:dyDescent="0.2">
      <c r="A92" s="36" t="b">
        <f t="shared" si="44"/>
        <v>0</v>
      </c>
      <c r="B92" s="94">
        <v>81</v>
      </c>
      <c r="C92" s="7"/>
      <c r="D92" s="7"/>
      <c r="E92" s="33"/>
      <c r="F92" s="8" t="str">
        <f>IF(ISBLANK(E92), "", VLOOKUP(E92, Z!$A$2:$C$4127, 3, FALSE))</f>
        <v/>
      </c>
      <c r="G92" s="44"/>
      <c r="H92" s="44"/>
      <c r="I92" s="107"/>
      <c r="J92" s="108"/>
      <c r="K92" s="34"/>
      <c r="L92" s="59"/>
      <c r="M92" s="58" t="str" cm="1">
        <f t="array" ref="M92">IF($K92&gt;0, INDEX(Clean,1+AG92,$B$1), "")</f>
        <v/>
      </c>
      <c r="N92" s="62"/>
      <c r="O92" s="62"/>
      <c r="P92" s="63"/>
      <c r="Q92" s="52">
        <f t="shared" si="50"/>
        <v>0</v>
      </c>
      <c r="R92" s="58" t="str" cm="1">
        <f t="array" ref="R92">IF($K92&gt;0, INDEX(Clean,1+AH92,$B$1), "")</f>
        <v/>
      </c>
      <c r="S92" s="62"/>
      <c r="T92" s="62"/>
      <c r="U92" s="63"/>
      <c r="V92" s="52">
        <f t="shared" si="51"/>
        <v>0</v>
      </c>
      <c r="W92" s="6"/>
      <c r="X92" s="7"/>
      <c r="Y92" s="33"/>
      <c r="Z92" s="8" t="str">
        <f>IF(ISBLANK(Y92), "", VLOOKUP(Y92, Z!$A$2:$C$4127, 3, FALSE))</f>
        <v/>
      </c>
      <c r="AA92" s="38"/>
      <c r="AB92" s="9">
        <f t="shared" si="45"/>
        <v>0</v>
      </c>
      <c r="AC92" s="20"/>
      <c r="AD92" s="41">
        <f t="shared" si="46"/>
        <v>1</v>
      </c>
      <c r="AE92" s="41">
        <f t="shared" si="47"/>
        <v>1</v>
      </c>
      <c r="AF92" s="41">
        <f t="shared" si="48"/>
        <v>0</v>
      </c>
      <c r="AG92" s="41">
        <v>1</v>
      </c>
      <c r="AH92" s="41">
        <v>0</v>
      </c>
      <c r="AI92" s="41">
        <f t="shared" si="49"/>
        <v>-100</v>
      </c>
      <c r="AJ92" s="20"/>
      <c r="AK92" s="45"/>
      <c r="AL92" s="45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20"/>
      <c r="AY92" s="41" cm="1">
        <f t="array" ref="AY92">INDEX(Use, $AD92, 4)</f>
        <v>7</v>
      </c>
      <c r="AZ92" s="41">
        <f t="shared" si="52"/>
        <v>32</v>
      </c>
      <c r="BA92" s="41">
        <f t="shared" si="53"/>
        <v>13</v>
      </c>
      <c r="BB92" s="41">
        <f t="shared" si="54"/>
        <v>0</v>
      </c>
      <c r="BC92" s="57" cm="1">
        <f t="array" ref="BC92">K92/IF($L92&gt;0, INDEX($AO$12:$AU$66, $L92+20, $AD92), 1)</f>
        <v>0</v>
      </c>
      <c r="BD92" s="46">
        <f t="shared" si="55"/>
        <v>0</v>
      </c>
      <c r="BE92" s="41">
        <v>35</v>
      </c>
      <c r="BF92" s="46">
        <f t="shared" si="56"/>
        <v>52.55</v>
      </c>
      <c r="BG92" s="49">
        <f t="shared" si="57"/>
        <v>2.7676728869374316</v>
      </c>
      <c r="BH92" s="49" cm="1">
        <f t="array" ref="BH92">$BC92 * SUMPRODUCT(INDEX($AL$66:$AN$71,,$AE92),INDEX($AO$66:$AU$71,,$AD92), N($AK$66:$AK$71&gt;$AI92)) / BG92 / 1000</f>
        <v>0</v>
      </c>
      <c r="BI92" s="50">
        <f t="shared" si="58"/>
        <v>30</v>
      </c>
      <c r="BJ92" s="46">
        <f t="shared" si="59"/>
        <v>46.033333333333331</v>
      </c>
      <c r="BK92" s="49">
        <f t="shared" si="60"/>
        <v>3.2297395388556791</v>
      </c>
      <c r="BL92" s="49" cm="1">
        <f t="array" ref="BL92">$BC92 * IF($AD92&lt;=2,
SUMPRODUCT(INDEX($AL$61:$AN$65,,$AE92), INDEX($AO$61:$AU$65,,$AD92), 1 / ($AV$61:$AV$65*BK92 + (1-$AV$61:$AV$65)*BG92), N($AK$61:$AK$65&gt;$AI92)),
SUMPRODUCT(INDEX($AL$56:$AN$65,,$AE92), INDEX($AO$56:$AU$65,,$AD92), 1 / ($AW$56:$AW$65*BK92 + (1-$AW$56:$AW$65)*BG92), N($AK$56:$AK$65&gt;$AI92))
) / 1000</f>
        <v>0</v>
      </c>
      <c r="BM92" s="50">
        <f t="shared" si="61"/>
        <v>25</v>
      </c>
      <c r="BN92" s="46">
        <f t="shared" si="62"/>
        <v>39.516666666666666</v>
      </c>
      <c r="BO92" s="49">
        <f t="shared" si="63"/>
        <v>3.877011788826243</v>
      </c>
      <c r="BP92" s="49" cm="1">
        <f t="array" ref="BP92">$BC92 * IF($AD92&lt;=2,
SUMPRODUCT(INDEX($AL$56:$AN$60,,$AE92), INDEX($AO$56:$AU$60,,$AD92), 1 / ($AV$56:$AV$60*BO92 + (1-$AV$56:$AV$60)*BK92), N($AK$56:$AK$60&gt;$AI92)),
SUMPRODUCT(INDEX($AL$46:$AN$55,,$AE92), INDEX($AO$46:$AU$55,,$AD92), 1 / ($AW$46:$AW$55*BO92 + (1-$AW$46:$AW$55)*BK92), N($AK$46:$AK$55&gt;$AI92))
) / 1000</f>
        <v>0</v>
      </c>
      <c r="BQ92" s="50">
        <f t="shared" si="64"/>
        <v>20</v>
      </c>
      <c r="BR92" s="46">
        <f t="shared" si="65"/>
        <v>33</v>
      </c>
      <c r="BS92" s="49">
        <f t="shared" si="66"/>
        <v>4.8487499999999999</v>
      </c>
      <c r="BT92" s="49" cm="1">
        <f t="array" ref="BT92">$BC92 * IF($AD92&lt;=2,
SUMPRODUCT(INDEX($AL$51:$AN$55,,$AE92), INDEX($AO$51:$AU$55,,$AD92), 1 / ($AV$51:$AV$55*BS92 + (1-$AV$51:$AV$55)*BO92), N($AK$51:$AK$55&gt;$AI92)),
SUMPRODUCT(INDEX($AL$36:$AN$45,,$AE92), INDEX($AO$36:$AU$45,,$AD92), 1 / ($AW$36:$AW$45*BS92 + (1-$AW$36:$AW$45)*BO92), N($AK$36:$AK$45&gt;$AI92))
) / 1000</f>
        <v>0</v>
      </c>
      <c r="BU92" s="49" cm="1">
        <f t="array" ref="BU92">$BC92 * IF($AD92&lt;=2,
SUMPRODUCT(INDEX($AL$12:$AN$50,,$AE92), INDEX($AO$12:$AU$50,,$AD92), 1 / ($AV$12:$AV$50*BS92), N($AK$12:$AK$50&gt;$AI92)),
SUMPRODUCT(INDEX($AL$12:$AN$35,,$AE92), INDEX($AO$12:$AU$35,,$AD92), 1 / ($AW$12:$AW$35*BS92), N($AK$12:$AK$35&gt;$AI92))
) / 1000</f>
        <v>0</v>
      </c>
      <c r="BV92" s="46">
        <f t="shared" si="67"/>
        <v>0</v>
      </c>
      <c r="BW92" s="20"/>
      <c r="BX92" s="46">
        <f t="shared" si="68"/>
        <v>0</v>
      </c>
      <c r="BY92" s="41">
        <v>35</v>
      </c>
      <c r="BZ92" s="46">
        <f t="shared" si="69"/>
        <v>48</v>
      </c>
      <c r="CA92" s="49">
        <f t="shared" si="70"/>
        <v>3.0748170731707316</v>
      </c>
      <c r="CB92" s="49" cm="1">
        <f t="array" ref="CB92">$BC92 * SUMPRODUCT(INDEX($AL$66:$AN$71,,$AE92),INDEX($AO$66:$AU$71,,$AD92), N($AK$66:$AK$71&gt;$AI92)) / CA92 / 1000</f>
        <v>0</v>
      </c>
      <c r="CC92" s="50">
        <f t="shared" si="71"/>
        <v>30</v>
      </c>
      <c r="CD92" s="46">
        <f t="shared" si="72"/>
        <v>43</v>
      </c>
      <c r="CE92" s="49">
        <f t="shared" si="73"/>
        <v>3.5018750000000001</v>
      </c>
      <c r="CF92" s="49" cm="1">
        <f t="array" ref="CF92">$BC92 * IF($AD92&lt;=2,
SUMPRODUCT(INDEX($AL$61:$AN$65,,$AE92), INDEX($AO$61:$AU$65,,$AD92), 1 / ($AV$61:$AV$65*CE92 + (1-$AV$61:$AV$65)*CA92), N($AK$61:$AK$65&gt;$AI92)),
SUMPRODUCT(INDEX($AL$56:$AN$65,,$AE92), INDEX($AO$56:$AU$65,,$AD92), 1 / ($AW$56:$AW$65*CE92 + (1-$AW$56:$AW$65)*CA92), N($AK$56:$AK$65&gt;$AI92))
) / 1000</f>
        <v>0</v>
      </c>
      <c r="CG92" s="50">
        <f t="shared" si="74"/>
        <v>25</v>
      </c>
      <c r="CH92" s="46">
        <f t="shared" si="75"/>
        <v>38</v>
      </c>
      <c r="CI92" s="49">
        <f t="shared" si="76"/>
        <v>4.0666935483870965</v>
      </c>
      <c r="CJ92" s="49" cm="1">
        <f t="array" ref="CJ92">$BC92 * IF($AD92&lt;=2,
SUMPRODUCT(INDEX($AL$56:$AN$60,,$AE92), INDEX($AO$56:$AU$60,,$AD92), 1 / ($AV$56:$AV$60*CI92 + (1-$AV$56:$AV$60)*CE92), N($AK$56:$AK$60&gt;$AI92)),
SUMPRODUCT(INDEX($AL$46:$AN$55,,$AE92), INDEX($AO$46:$AU$55,,$AD92), 1 / ($AW$46:$AW$55*CI92 + (1-$AW$46:$AW$55)*CE92), N($AK$46:$AK$55&gt;$AI92))
) / 1000</f>
        <v>0</v>
      </c>
      <c r="CK92" s="50">
        <f t="shared" si="77"/>
        <v>20</v>
      </c>
      <c r="CL92" s="46">
        <f t="shared" si="78"/>
        <v>33</v>
      </c>
      <c r="CM92" s="49">
        <f t="shared" si="79"/>
        <v>4.8487499999999999</v>
      </c>
      <c r="CN92" s="49" cm="1">
        <f t="array" ref="CN92">$BC92 * IF($AD92&lt;=2,
SUMPRODUCT(INDEX($AL$51:$AN$55,,$AE92), INDEX($AO$51:$AU$55,,$AD92), 1 / ($AV$51:$AV$55*CM92 + (1-$AV$51:$AV$55)*CI92), N($AK$51:$AK$55&gt;$AI92)),
SUMPRODUCT(INDEX($AL$36:$AN$45,,$AE92), INDEX($AO$36:$AU$45,,$AD92), 1 / ($AW$36:$AW$45*CM92 + (1-$AW$36:$AW$45)*CI92), N($AK$36:$AK$45&gt;$AI92))
) / 1000</f>
        <v>0</v>
      </c>
      <c r="CO92" s="49" cm="1">
        <f t="array" ref="CO92">$BC92 * IF($AD92&lt;=2,
SUMPRODUCT(INDEX($AL$12:$AN$50,,$AE92), INDEX($AO$12:$AU$50,,$AD92), 1 / ($AV$12:$AV$50*CM92), N($AK$12:$AK$50&gt;$AI92)),
SUMPRODUCT(INDEX($AL$12:$AN$35,,$AE92), INDEX($AO$12:$AU$35,,$AD92), 1 / ($AW$12:$AW$35*CM92), N($AK$12:$AK$35&gt;$AI92))
) / 1000</f>
        <v>0</v>
      </c>
      <c r="CP92" s="46">
        <f t="shared" si="80"/>
        <v>0</v>
      </c>
      <c r="CQ92" s="20"/>
    </row>
    <row r="93" spans="1:95" s="95" customFormat="1" ht="14.25" customHeight="1" x14ac:dyDescent="0.2">
      <c r="A93" s="36" t="b">
        <f t="shared" si="44"/>
        <v>0</v>
      </c>
      <c r="B93" s="94">
        <v>82</v>
      </c>
      <c r="C93" s="7"/>
      <c r="D93" s="7"/>
      <c r="E93" s="33"/>
      <c r="F93" s="8" t="str">
        <f>IF(ISBLANK(E93), "", VLOOKUP(E93, Z!$A$2:$C$4127, 3, FALSE))</f>
        <v/>
      </c>
      <c r="G93" s="44"/>
      <c r="H93" s="44"/>
      <c r="I93" s="107"/>
      <c r="J93" s="108"/>
      <c r="K93" s="34"/>
      <c r="L93" s="59"/>
      <c r="M93" s="58" t="str" cm="1">
        <f t="array" ref="M93">IF($K93&gt;0, INDEX(Clean,1+AG93,$B$1), "")</f>
        <v/>
      </c>
      <c r="N93" s="62"/>
      <c r="O93" s="62"/>
      <c r="P93" s="63"/>
      <c r="Q93" s="52">
        <f t="shared" si="50"/>
        <v>0</v>
      </c>
      <c r="R93" s="58" t="str" cm="1">
        <f t="array" ref="R93">IF($K93&gt;0, INDEX(Clean,1+AH93,$B$1), "")</f>
        <v/>
      </c>
      <c r="S93" s="62"/>
      <c r="T93" s="62"/>
      <c r="U93" s="63"/>
      <c r="V93" s="52">
        <f t="shared" si="51"/>
        <v>0</v>
      </c>
      <c r="W93" s="6"/>
      <c r="X93" s="7"/>
      <c r="Y93" s="33"/>
      <c r="Z93" s="8" t="str">
        <f>IF(ISBLANK(Y93), "", VLOOKUP(Y93, Z!$A$2:$C$4127, 3, FALSE))</f>
        <v/>
      </c>
      <c r="AA93" s="38"/>
      <c r="AB93" s="9">
        <f t="shared" si="45"/>
        <v>0</v>
      </c>
      <c r="AC93" s="20"/>
      <c r="AD93" s="41">
        <f t="shared" si="46"/>
        <v>1</v>
      </c>
      <c r="AE93" s="41">
        <f t="shared" si="47"/>
        <v>1</v>
      </c>
      <c r="AF93" s="41">
        <f t="shared" si="48"/>
        <v>0</v>
      </c>
      <c r="AG93" s="41">
        <v>1</v>
      </c>
      <c r="AH93" s="41">
        <v>0</v>
      </c>
      <c r="AI93" s="41">
        <f t="shared" si="49"/>
        <v>-100</v>
      </c>
      <c r="AJ93" s="20"/>
      <c r="AK93" s="45"/>
      <c r="AL93" s="45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20"/>
      <c r="AY93" s="41" cm="1">
        <f t="array" ref="AY93">INDEX(Use, $AD93, 4)</f>
        <v>7</v>
      </c>
      <c r="AZ93" s="41">
        <f t="shared" si="52"/>
        <v>32</v>
      </c>
      <c r="BA93" s="41">
        <f t="shared" si="53"/>
        <v>13</v>
      </c>
      <c r="BB93" s="41">
        <f t="shared" si="54"/>
        <v>0</v>
      </c>
      <c r="BC93" s="57" cm="1">
        <f t="array" ref="BC93">K93/IF($L93&gt;0, INDEX($AO$12:$AU$66, $L93+20, $AD93), 1)</f>
        <v>0</v>
      </c>
      <c r="BD93" s="46">
        <f t="shared" si="55"/>
        <v>0</v>
      </c>
      <c r="BE93" s="41">
        <v>35</v>
      </c>
      <c r="BF93" s="46">
        <f t="shared" si="56"/>
        <v>52.55</v>
      </c>
      <c r="BG93" s="49">
        <f t="shared" si="57"/>
        <v>2.7676728869374316</v>
      </c>
      <c r="BH93" s="49" cm="1">
        <f t="array" ref="BH93">$BC93 * SUMPRODUCT(INDEX($AL$66:$AN$71,,$AE93),INDEX($AO$66:$AU$71,,$AD93), N($AK$66:$AK$71&gt;$AI93)) / BG93 / 1000</f>
        <v>0</v>
      </c>
      <c r="BI93" s="50">
        <f t="shared" si="58"/>
        <v>30</v>
      </c>
      <c r="BJ93" s="46">
        <f t="shared" si="59"/>
        <v>46.033333333333331</v>
      </c>
      <c r="BK93" s="49">
        <f t="shared" si="60"/>
        <v>3.2297395388556791</v>
      </c>
      <c r="BL93" s="49" cm="1">
        <f t="array" ref="BL93">$BC93 * IF($AD93&lt;=2,
SUMPRODUCT(INDEX($AL$61:$AN$65,,$AE93), INDEX($AO$61:$AU$65,,$AD93), 1 / ($AV$61:$AV$65*BK93 + (1-$AV$61:$AV$65)*BG93), N($AK$61:$AK$65&gt;$AI93)),
SUMPRODUCT(INDEX($AL$56:$AN$65,,$AE93), INDEX($AO$56:$AU$65,,$AD93), 1 / ($AW$56:$AW$65*BK93 + (1-$AW$56:$AW$65)*BG93), N($AK$56:$AK$65&gt;$AI93))
) / 1000</f>
        <v>0</v>
      </c>
      <c r="BM93" s="50">
        <f t="shared" si="61"/>
        <v>25</v>
      </c>
      <c r="BN93" s="46">
        <f t="shared" si="62"/>
        <v>39.516666666666666</v>
      </c>
      <c r="BO93" s="49">
        <f t="shared" si="63"/>
        <v>3.877011788826243</v>
      </c>
      <c r="BP93" s="49" cm="1">
        <f t="array" ref="BP93">$BC93 * IF($AD93&lt;=2,
SUMPRODUCT(INDEX($AL$56:$AN$60,,$AE93), INDEX($AO$56:$AU$60,,$AD93), 1 / ($AV$56:$AV$60*BO93 + (1-$AV$56:$AV$60)*BK93), N($AK$56:$AK$60&gt;$AI93)),
SUMPRODUCT(INDEX($AL$46:$AN$55,,$AE93), INDEX($AO$46:$AU$55,,$AD93), 1 / ($AW$46:$AW$55*BO93 + (1-$AW$46:$AW$55)*BK93), N($AK$46:$AK$55&gt;$AI93))
) / 1000</f>
        <v>0</v>
      </c>
      <c r="BQ93" s="50">
        <f t="shared" si="64"/>
        <v>20</v>
      </c>
      <c r="BR93" s="46">
        <f t="shared" si="65"/>
        <v>33</v>
      </c>
      <c r="BS93" s="49">
        <f t="shared" si="66"/>
        <v>4.8487499999999999</v>
      </c>
      <c r="BT93" s="49" cm="1">
        <f t="array" ref="BT93">$BC93 * IF($AD93&lt;=2,
SUMPRODUCT(INDEX($AL$51:$AN$55,,$AE93), INDEX($AO$51:$AU$55,,$AD93), 1 / ($AV$51:$AV$55*BS93 + (1-$AV$51:$AV$55)*BO93), N($AK$51:$AK$55&gt;$AI93)),
SUMPRODUCT(INDEX($AL$36:$AN$45,,$AE93), INDEX($AO$36:$AU$45,,$AD93), 1 / ($AW$36:$AW$45*BS93 + (1-$AW$36:$AW$45)*BO93), N($AK$36:$AK$45&gt;$AI93))
) / 1000</f>
        <v>0</v>
      </c>
      <c r="BU93" s="49" cm="1">
        <f t="array" ref="BU93">$BC93 * IF($AD93&lt;=2,
SUMPRODUCT(INDEX($AL$12:$AN$50,,$AE93), INDEX($AO$12:$AU$50,,$AD93), 1 / ($AV$12:$AV$50*BS93), N($AK$12:$AK$50&gt;$AI93)),
SUMPRODUCT(INDEX($AL$12:$AN$35,,$AE93), INDEX($AO$12:$AU$35,,$AD93), 1 / ($AW$12:$AW$35*BS93), N($AK$12:$AK$35&gt;$AI93))
) / 1000</f>
        <v>0</v>
      </c>
      <c r="BV93" s="46">
        <f t="shared" si="67"/>
        <v>0</v>
      </c>
      <c r="BW93" s="20"/>
      <c r="BX93" s="46">
        <f t="shared" si="68"/>
        <v>0</v>
      </c>
      <c r="BY93" s="41">
        <v>35</v>
      </c>
      <c r="BZ93" s="46">
        <f t="shared" si="69"/>
        <v>48</v>
      </c>
      <c r="CA93" s="49">
        <f t="shared" si="70"/>
        <v>3.0748170731707316</v>
      </c>
      <c r="CB93" s="49" cm="1">
        <f t="array" ref="CB93">$BC93 * SUMPRODUCT(INDEX($AL$66:$AN$71,,$AE93),INDEX($AO$66:$AU$71,,$AD93), N($AK$66:$AK$71&gt;$AI93)) / CA93 / 1000</f>
        <v>0</v>
      </c>
      <c r="CC93" s="50">
        <f t="shared" si="71"/>
        <v>30</v>
      </c>
      <c r="CD93" s="46">
        <f t="shared" si="72"/>
        <v>43</v>
      </c>
      <c r="CE93" s="49">
        <f t="shared" si="73"/>
        <v>3.5018750000000001</v>
      </c>
      <c r="CF93" s="49" cm="1">
        <f t="array" ref="CF93">$BC93 * IF($AD93&lt;=2,
SUMPRODUCT(INDEX($AL$61:$AN$65,,$AE93), INDEX($AO$61:$AU$65,,$AD93), 1 / ($AV$61:$AV$65*CE93 + (1-$AV$61:$AV$65)*CA93), N($AK$61:$AK$65&gt;$AI93)),
SUMPRODUCT(INDEX($AL$56:$AN$65,,$AE93), INDEX($AO$56:$AU$65,,$AD93), 1 / ($AW$56:$AW$65*CE93 + (1-$AW$56:$AW$65)*CA93), N($AK$56:$AK$65&gt;$AI93))
) / 1000</f>
        <v>0</v>
      </c>
      <c r="CG93" s="50">
        <f t="shared" si="74"/>
        <v>25</v>
      </c>
      <c r="CH93" s="46">
        <f t="shared" si="75"/>
        <v>38</v>
      </c>
      <c r="CI93" s="49">
        <f t="shared" si="76"/>
        <v>4.0666935483870965</v>
      </c>
      <c r="CJ93" s="49" cm="1">
        <f t="array" ref="CJ93">$BC93 * IF($AD93&lt;=2,
SUMPRODUCT(INDEX($AL$56:$AN$60,,$AE93), INDEX($AO$56:$AU$60,,$AD93), 1 / ($AV$56:$AV$60*CI93 + (1-$AV$56:$AV$60)*CE93), N($AK$56:$AK$60&gt;$AI93)),
SUMPRODUCT(INDEX($AL$46:$AN$55,,$AE93), INDEX($AO$46:$AU$55,,$AD93), 1 / ($AW$46:$AW$55*CI93 + (1-$AW$46:$AW$55)*CE93), N($AK$46:$AK$55&gt;$AI93))
) / 1000</f>
        <v>0</v>
      </c>
      <c r="CK93" s="50">
        <f t="shared" si="77"/>
        <v>20</v>
      </c>
      <c r="CL93" s="46">
        <f t="shared" si="78"/>
        <v>33</v>
      </c>
      <c r="CM93" s="49">
        <f t="shared" si="79"/>
        <v>4.8487499999999999</v>
      </c>
      <c r="CN93" s="49" cm="1">
        <f t="array" ref="CN93">$BC93 * IF($AD93&lt;=2,
SUMPRODUCT(INDEX($AL$51:$AN$55,,$AE93), INDEX($AO$51:$AU$55,,$AD93), 1 / ($AV$51:$AV$55*CM93 + (1-$AV$51:$AV$55)*CI93), N($AK$51:$AK$55&gt;$AI93)),
SUMPRODUCT(INDEX($AL$36:$AN$45,,$AE93), INDEX($AO$36:$AU$45,,$AD93), 1 / ($AW$36:$AW$45*CM93 + (1-$AW$36:$AW$45)*CI93), N($AK$36:$AK$45&gt;$AI93))
) / 1000</f>
        <v>0</v>
      </c>
      <c r="CO93" s="49" cm="1">
        <f t="array" ref="CO93">$BC93 * IF($AD93&lt;=2,
SUMPRODUCT(INDEX($AL$12:$AN$50,,$AE93), INDEX($AO$12:$AU$50,,$AD93), 1 / ($AV$12:$AV$50*CM93), N($AK$12:$AK$50&gt;$AI93)),
SUMPRODUCT(INDEX($AL$12:$AN$35,,$AE93), INDEX($AO$12:$AU$35,,$AD93), 1 / ($AW$12:$AW$35*CM93), N($AK$12:$AK$35&gt;$AI93))
) / 1000</f>
        <v>0</v>
      </c>
      <c r="CP93" s="46">
        <f t="shared" si="80"/>
        <v>0</v>
      </c>
      <c r="CQ93" s="20"/>
    </row>
    <row r="94" spans="1:95" s="95" customFormat="1" ht="14.25" customHeight="1" x14ac:dyDescent="0.2">
      <c r="A94" s="36" t="b">
        <f t="shared" si="44"/>
        <v>0</v>
      </c>
      <c r="B94" s="94">
        <v>83</v>
      </c>
      <c r="C94" s="7"/>
      <c r="D94" s="7"/>
      <c r="E94" s="33"/>
      <c r="F94" s="8" t="str">
        <f>IF(ISBLANK(E94), "", VLOOKUP(E94, Z!$A$2:$C$4127, 3, FALSE))</f>
        <v/>
      </c>
      <c r="G94" s="44"/>
      <c r="H94" s="44"/>
      <c r="I94" s="107"/>
      <c r="J94" s="108"/>
      <c r="K94" s="34"/>
      <c r="L94" s="59"/>
      <c r="M94" s="58" t="str" cm="1">
        <f t="array" ref="M94">IF($K94&gt;0, INDEX(Clean,1+AG94,$B$1), "")</f>
        <v/>
      </c>
      <c r="N94" s="62"/>
      <c r="O94" s="62"/>
      <c r="P94" s="63"/>
      <c r="Q94" s="52">
        <f t="shared" si="50"/>
        <v>0</v>
      </c>
      <c r="R94" s="58" t="str" cm="1">
        <f t="array" ref="R94">IF($K94&gt;0, INDEX(Clean,1+AH94,$B$1), "")</f>
        <v/>
      </c>
      <c r="S94" s="62"/>
      <c r="T94" s="62"/>
      <c r="U94" s="63"/>
      <c r="V94" s="52">
        <f t="shared" si="51"/>
        <v>0</v>
      </c>
      <c r="W94" s="6"/>
      <c r="X94" s="7"/>
      <c r="Y94" s="33"/>
      <c r="Z94" s="8" t="str">
        <f>IF(ISBLANK(Y94), "", VLOOKUP(Y94, Z!$A$2:$C$4127, 3, FALSE))</f>
        <v/>
      </c>
      <c r="AA94" s="38"/>
      <c r="AB94" s="9">
        <f t="shared" si="45"/>
        <v>0</v>
      </c>
      <c r="AC94" s="20"/>
      <c r="AD94" s="41">
        <f t="shared" si="46"/>
        <v>1</v>
      </c>
      <c r="AE94" s="41">
        <f t="shared" si="47"/>
        <v>1</v>
      </c>
      <c r="AF94" s="41">
        <f t="shared" si="48"/>
        <v>0</v>
      </c>
      <c r="AG94" s="41">
        <v>1</v>
      </c>
      <c r="AH94" s="41">
        <v>0</v>
      </c>
      <c r="AI94" s="41">
        <f t="shared" si="49"/>
        <v>-100</v>
      </c>
      <c r="AJ94" s="20"/>
      <c r="AK94" s="45"/>
      <c r="AL94" s="45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20"/>
      <c r="AY94" s="41" cm="1">
        <f t="array" ref="AY94">INDEX(Use, $AD94, 4)</f>
        <v>7</v>
      </c>
      <c r="AZ94" s="41">
        <f t="shared" si="52"/>
        <v>32</v>
      </c>
      <c r="BA94" s="41">
        <f t="shared" si="53"/>
        <v>13</v>
      </c>
      <c r="BB94" s="41">
        <f t="shared" si="54"/>
        <v>0</v>
      </c>
      <c r="BC94" s="57" cm="1">
        <f t="array" ref="BC94">K94/IF($L94&gt;0, INDEX($AO$12:$AU$66, $L94+20, $AD94), 1)</f>
        <v>0</v>
      </c>
      <c r="BD94" s="46">
        <f t="shared" si="55"/>
        <v>0</v>
      </c>
      <c r="BE94" s="41">
        <v>35</v>
      </c>
      <c r="BF94" s="46">
        <f t="shared" si="56"/>
        <v>52.55</v>
      </c>
      <c r="BG94" s="49">
        <f t="shared" si="57"/>
        <v>2.7676728869374316</v>
      </c>
      <c r="BH94" s="49" cm="1">
        <f t="array" ref="BH94">$BC94 * SUMPRODUCT(INDEX($AL$66:$AN$71,,$AE94),INDEX($AO$66:$AU$71,,$AD94), N($AK$66:$AK$71&gt;$AI94)) / BG94 / 1000</f>
        <v>0</v>
      </c>
      <c r="BI94" s="50">
        <f t="shared" si="58"/>
        <v>30</v>
      </c>
      <c r="BJ94" s="46">
        <f t="shared" si="59"/>
        <v>46.033333333333331</v>
      </c>
      <c r="BK94" s="49">
        <f t="shared" si="60"/>
        <v>3.2297395388556791</v>
      </c>
      <c r="BL94" s="49" cm="1">
        <f t="array" ref="BL94">$BC94 * IF($AD94&lt;=2,
SUMPRODUCT(INDEX($AL$61:$AN$65,,$AE94), INDEX($AO$61:$AU$65,,$AD94), 1 / ($AV$61:$AV$65*BK94 + (1-$AV$61:$AV$65)*BG94), N($AK$61:$AK$65&gt;$AI94)),
SUMPRODUCT(INDEX($AL$56:$AN$65,,$AE94), INDEX($AO$56:$AU$65,,$AD94), 1 / ($AW$56:$AW$65*BK94 + (1-$AW$56:$AW$65)*BG94), N($AK$56:$AK$65&gt;$AI94))
) / 1000</f>
        <v>0</v>
      </c>
      <c r="BM94" s="50">
        <f t="shared" si="61"/>
        <v>25</v>
      </c>
      <c r="BN94" s="46">
        <f t="shared" si="62"/>
        <v>39.516666666666666</v>
      </c>
      <c r="BO94" s="49">
        <f t="shared" si="63"/>
        <v>3.877011788826243</v>
      </c>
      <c r="BP94" s="49" cm="1">
        <f t="array" ref="BP94">$BC94 * IF($AD94&lt;=2,
SUMPRODUCT(INDEX($AL$56:$AN$60,,$AE94), INDEX($AO$56:$AU$60,,$AD94), 1 / ($AV$56:$AV$60*BO94 + (1-$AV$56:$AV$60)*BK94), N($AK$56:$AK$60&gt;$AI94)),
SUMPRODUCT(INDEX($AL$46:$AN$55,,$AE94), INDEX($AO$46:$AU$55,,$AD94), 1 / ($AW$46:$AW$55*BO94 + (1-$AW$46:$AW$55)*BK94), N($AK$46:$AK$55&gt;$AI94))
) / 1000</f>
        <v>0</v>
      </c>
      <c r="BQ94" s="50">
        <f t="shared" si="64"/>
        <v>20</v>
      </c>
      <c r="BR94" s="46">
        <f t="shared" si="65"/>
        <v>33</v>
      </c>
      <c r="BS94" s="49">
        <f t="shared" si="66"/>
        <v>4.8487499999999999</v>
      </c>
      <c r="BT94" s="49" cm="1">
        <f t="array" ref="BT94">$BC94 * IF($AD94&lt;=2,
SUMPRODUCT(INDEX($AL$51:$AN$55,,$AE94), INDEX($AO$51:$AU$55,,$AD94), 1 / ($AV$51:$AV$55*BS94 + (1-$AV$51:$AV$55)*BO94), N($AK$51:$AK$55&gt;$AI94)),
SUMPRODUCT(INDEX($AL$36:$AN$45,,$AE94), INDEX($AO$36:$AU$45,,$AD94), 1 / ($AW$36:$AW$45*BS94 + (1-$AW$36:$AW$45)*BO94), N($AK$36:$AK$45&gt;$AI94))
) / 1000</f>
        <v>0</v>
      </c>
      <c r="BU94" s="49" cm="1">
        <f t="array" ref="BU94">$BC94 * IF($AD94&lt;=2,
SUMPRODUCT(INDEX($AL$12:$AN$50,,$AE94), INDEX($AO$12:$AU$50,,$AD94), 1 / ($AV$12:$AV$50*BS94), N($AK$12:$AK$50&gt;$AI94)),
SUMPRODUCT(INDEX($AL$12:$AN$35,,$AE94), INDEX($AO$12:$AU$35,,$AD94), 1 / ($AW$12:$AW$35*BS94), N($AK$12:$AK$35&gt;$AI94))
) / 1000</f>
        <v>0</v>
      </c>
      <c r="BV94" s="46">
        <f t="shared" si="67"/>
        <v>0</v>
      </c>
      <c r="BW94" s="20"/>
      <c r="BX94" s="46">
        <f t="shared" si="68"/>
        <v>0</v>
      </c>
      <c r="BY94" s="41">
        <v>35</v>
      </c>
      <c r="BZ94" s="46">
        <f t="shared" si="69"/>
        <v>48</v>
      </c>
      <c r="CA94" s="49">
        <f t="shared" si="70"/>
        <v>3.0748170731707316</v>
      </c>
      <c r="CB94" s="49" cm="1">
        <f t="array" ref="CB94">$BC94 * SUMPRODUCT(INDEX($AL$66:$AN$71,,$AE94),INDEX($AO$66:$AU$71,,$AD94), N($AK$66:$AK$71&gt;$AI94)) / CA94 / 1000</f>
        <v>0</v>
      </c>
      <c r="CC94" s="50">
        <f t="shared" si="71"/>
        <v>30</v>
      </c>
      <c r="CD94" s="46">
        <f t="shared" si="72"/>
        <v>43</v>
      </c>
      <c r="CE94" s="49">
        <f t="shared" si="73"/>
        <v>3.5018750000000001</v>
      </c>
      <c r="CF94" s="49" cm="1">
        <f t="array" ref="CF94">$BC94 * IF($AD94&lt;=2,
SUMPRODUCT(INDEX($AL$61:$AN$65,,$AE94), INDEX($AO$61:$AU$65,,$AD94), 1 / ($AV$61:$AV$65*CE94 + (1-$AV$61:$AV$65)*CA94), N($AK$61:$AK$65&gt;$AI94)),
SUMPRODUCT(INDEX($AL$56:$AN$65,,$AE94), INDEX($AO$56:$AU$65,,$AD94), 1 / ($AW$56:$AW$65*CE94 + (1-$AW$56:$AW$65)*CA94), N($AK$56:$AK$65&gt;$AI94))
) / 1000</f>
        <v>0</v>
      </c>
      <c r="CG94" s="50">
        <f t="shared" si="74"/>
        <v>25</v>
      </c>
      <c r="CH94" s="46">
        <f t="shared" si="75"/>
        <v>38</v>
      </c>
      <c r="CI94" s="49">
        <f t="shared" si="76"/>
        <v>4.0666935483870965</v>
      </c>
      <c r="CJ94" s="49" cm="1">
        <f t="array" ref="CJ94">$BC94 * IF($AD94&lt;=2,
SUMPRODUCT(INDEX($AL$56:$AN$60,,$AE94), INDEX($AO$56:$AU$60,,$AD94), 1 / ($AV$56:$AV$60*CI94 + (1-$AV$56:$AV$60)*CE94), N($AK$56:$AK$60&gt;$AI94)),
SUMPRODUCT(INDEX($AL$46:$AN$55,,$AE94), INDEX($AO$46:$AU$55,,$AD94), 1 / ($AW$46:$AW$55*CI94 + (1-$AW$46:$AW$55)*CE94), N($AK$46:$AK$55&gt;$AI94))
) / 1000</f>
        <v>0</v>
      </c>
      <c r="CK94" s="50">
        <f t="shared" si="77"/>
        <v>20</v>
      </c>
      <c r="CL94" s="46">
        <f t="shared" si="78"/>
        <v>33</v>
      </c>
      <c r="CM94" s="49">
        <f t="shared" si="79"/>
        <v>4.8487499999999999</v>
      </c>
      <c r="CN94" s="49" cm="1">
        <f t="array" ref="CN94">$BC94 * IF($AD94&lt;=2,
SUMPRODUCT(INDEX($AL$51:$AN$55,,$AE94), INDEX($AO$51:$AU$55,,$AD94), 1 / ($AV$51:$AV$55*CM94 + (1-$AV$51:$AV$55)*CI94), N($AK$51:$AK$55&gt;$AI94)),
SUMPRODUCT(INDEX($AL$36:$AN$45,,$AE94), INDEX($AO$36:$AU$45,,$AD94), 1 / ($AW$36:$AW$45*CM94 + (1-$AW$36:$AW$45)*CI94), N($AK$36:$AK$45&gt;$AI94))
) / 1000</f>
        <v>0</v>
      </c>
      <c r="CO94" s="49" cm="1">
        <f t="array" ref="CO94">$BC94 * IF($AD94&lt;=2,
SUMPRODUCT(INDEX($AL$12:$AN$50,,$AE94), INDEX($AO$12:$AU$50,,$AD94), 1 / ($AV$12:$AV$50*CM94), N($AK$12:$AK$50&gt;$AI94)),
SUMPRODUCT(INDEX($AL$12:$AN$35,,$AE94), INDEX($AO$12:$AU$35,,$AD94), 1 / ($AW$12:$AW$35*CM94), N($AK$12:$AK$35&gt;$AI94))
) / 1000</f>
        <v>0</v>
      </c>
      <c r="CP94" s="46">
        <f t="shared" si="80"/>
        <v>0</v>
      </c>
      <c r="CQ94" s="20"/>
    </row>
    <row r="95" spans="1:95" s="95" customFormat="1" ht="14.25" customHeight="1" x14ac:dyDescent="0.2">
      <c r="A95" s="36" t="b">
        <f t="shared" si="44"/>
        <v>0</v>
      </c>
      <c r="B95" s="94">
        <v>84</v>
      </c>
      <c r="C95" s="7"/>
      <c r="D95" s="7"/>
      <c r="E95" s="33"/>
      <c r="F95" s="8" t="str">
        <f>IF(ISBLANK(E95), "", VLOOKUP(E95, Z!$A$2:$C$4127, 3, FALSE))</f>
        <v/>
      </c>
      <c r="G95" s="44"/>
      <c r="H95" s="44"/>
      <c r="I95" s="107"/>
      <c r="J95" s="108"/>
      <c r="K95" s="34"/>
      <c r="L95" s="59"/>
      <c r="M95" s="58" t="str" cm="1">
        <f t="array" ref="M95">IF($K95&gt;0, INDEX(Clean,1+AG95,$B$1), "")</f>
        <v/>
      </c>
      <c r="N95" s="62"/>
      <c r="O95" s="62"/>
      <c r="P95" s="63"/>
      <c r="Q95" s="52">
        <f t="shared" si="50"/>
        <v>0</v>
      </c>
      <c r="R95" s="58" t="str" cm="1">
        <f t="array" ref="R95">IF($K95&gt;0, INDEX(Clean,1+AH95,$B$1), "")</f>
        <v/>
      </c>
      <c r="S95" s="62"/>
      <c r="T95" s="62"/>
      <c r="U95" s="63"/>
      <c r="V95" s="52">
        <f t="shared" si="51"/>
        <v>0</v>
      </c>
      <c r="W95" s="6"/>
      <c r="X95" s="7"/>
      <c r="Y95" s="33"/>
      <c r="Z95" s="8" t="str">
        <f>IF(ISBLANK(Y95), "", VLOOKUP(Y95, Z!$A$2:$C$4127, 3, FALSE))</f>
        <v/>
      </c>
      <c r="AA95" s="38"/>
      <c r="AB95" s="9">
        <f t="shared" si="45"/>
        <v>0</v>
      </c>
      <c r="AC95" s="20"/>
      <c r="AD95" s="41">
        <f t="shared" si="46"/>
        <v>1</v>
      </c>
      <c r="AE95" s="41">
        <f t="shared" si="47"/>
        <v>1</v>
      </c>
      <c r="AF95" s="41">
        <f t="shared" si="48"/>
        <v>0</v>
      </c>
      <c r="AG95" s="41">
        <v>1</v>
      </c>
      <c r="AH95" s="41">
        <v>0</v>
      </c>
      <c r="AI95" s="41">
        <f t="shared" si="49"/>
        <v>-100</v>
      </c>
      <c r="AJ95" s="20"/>
      <c r="AK95" s="45"/>
      <c r="AL95" s="45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20"/>
      <c r="AY95" s="41" cm="1">
        <f t="array" ref="AY95">INDEX(Use, $AD95, 4)</f>
        <v>7</v>
      </c>
      <c r="AZ95" s="41">
        <f t="shared" si="52"/>
        <v>32</v>
      </c>
      <c r="BA95" s="41">
        <f t="shared" si="53"/>
        <v>13</v>
      </c>
      <c r="BB95" s="41">
        <f t="shared" si="54"/>
        <v>0</v>
      </c>
      <c r="BC95" s="57" cm="1">
        <f t="array" ref="BC95">K95/IF($L95&gt;0, INDEX($AO$12:$AU$66, $L95+20, $AD95), 1)</f>
        <v>0</v>
      </c>
      <c r="BD95" s="46">
        <f t="shared" si="55"/>
        <v>0</v>
      </c>
      <c r="BE95" s="41">
        <v>35</v>
      </c>
      <c r="BF95" s="46">
        <f t="shared" si="56"/>
        <v>52.55</v>
      </c>
      <c r="BG95" s="49">
        <f t="shared" si="57"/>
        <v>2.7676728869374316</v>
      </c>
      <c r="BH95" s="49" cm="1">
        <f t="array" ref="BH95">$BC95 * SUMPRODUCT(INDEX($AL$66:$AN$71,,$AE95),INDEX($AO$66:$AU$71,,$AD95), N($AK$66:$AK$71&gt;$AI95)) / BG95 / 1000</f>
        <v>0</v>
      </c>
      <c r="BI95" s="50">
        <f t="shared" si="58"/>
        <v>30</v>
      </c>
      <c r="BJ95" s="46">
        <f t="shared" si="59"/>
        <v>46.033333333333331</v>
      </c>
      <c r="BK95" s="49">
        <f t="shared" si="60"/>
        <v>3.2297395388556791</v>
      </c>
      <c r="BL95" s="49" cm="1">
        <f t="array" ref="BL95">$BC95 * IF($AD95&lt;=2,
SUMPRODUCT(INDEX($AL$61:$AN$65,,$AE95), INDEX($AO$61:$AU$65,,$AD95), 1 / ($AV$61:$AV$65*BK95 + (1-$AV$61:$AV$65)*BG95), N($AK$61:$AK$65&gt;$AI95)),
SUMPRODUCT(INDEX($AL$56:$AN$65,,$AE95), INDEX($AO$56:$AU$65,,$AD95), 1 / ($AW$56:$AW$65*BK95 + (1-$AW$56:$AW$65)*BG95), N($AK$56:$AK$65&gt;$AI95))
) / 1000</f>
        <v>0</v>
      </c>
      <c r="BM95" s="50">
        <f t="shared" si="61"/>
        <v>25</v>
      </c>
      <c r="BN95" s="46">
        <f t="shared" si="62"/>
        <v>39.516666666666666</v>
      </c>
      <c r="BO95" s="49">
        <f t="shared" si="63"/>
        <v>3.877011788826243</v>
      </c>
      <c r="BP95" s="49" cm="1">
        <f t="array" ref="BP95">$BC95 * IF($AD95&lt;=2,
SUMPRODUCT(INDEX($AL$56:$AN$60,,$AE95), INDEX($AO$56:$AU$60,,$AD95), 1 / ($AV$56:$AV$60*BO95 + (1-$AV$56:$AV$60)*BK95), N($AK$56:$AK$60&gt;$AI95)),
SUMPRODUCT(INDEX($AL$46:$AN$55,,$AE95), INDEX($AO$46:$AU$55,,$AD95), 1 / ($AW$46:$AW$55*BO95 + (1-$AW$46:$AW$55)*BK95), N($AK$46:$AK$55&gt;$AI95))
) / 1000</f>
        <v>0</v>
      </c>
      <c r="BQ95" s="50">
        <f t="shared" si="64"/>
        <v>20</v>
      </c>
      <c r="BR95" s="46">
        <f t="shared" si="65"/>
        <v>33</v>
      </c>
      <c r="BS95" s="49">
        <f t="shared" si="66"/>
        <v>4.8487499999999999</v>
      </c>
      <c r="BT95" s="49" cm="1">
        <f t="array" ref="BT95">$BC95 * IF($AD95&lt;=2,
SUMPRODUCT(INDEX($AL$51:$AN$55,,$AE95), INDEX($AO$51:$AU$55,,$AD95), 1 / ($AV$51:$AV$55*BS95 + (1-$AV$51:$AV$55)*BO95), N($AK$51:$AK$55&gt;$AI95)),
SUMPRODUCT(INDEX($AL$36:$AN$45,,$AE95), INDEX($AO$36:$AU$45,,$AD95), 1 / ($AW$36:$AW$45*BS95 + (1-$AW$36:$AW$45)*BO95), N($AK$36:$AK$45&gt;$AI95))
) / 1000</f>
        <v>0</v>
      </c>
      <c r="BU95" s="49" cm="1">
        <f t="array" ref="BU95">$BC95 * IF($AD95&lt;=2,
SUMPRODUCT(INDEX($AL$12:$AN$50,,$AE95), INDEX($AO$12:$AU$50,,$AD95), 1 / ($AV$12:$AV$50*BS95), N($AK$12:$AK$50&gt;$AI95)),
SUMPRODUCT(INDEX($AL$12:$AN$35,,$AE95), INDEX($AO$12:$AU$35,,$AD95), 1 / ($AW$12:$AW$35*BS95), N($AK$12:$AK$35&gt;$AI95))
) / 1000</f>
        <v>0</v>
      </c>
      <c r="BV95" s="46">
        <f t="shared" si="67"/>
        <v>0</v>
      </c>
      <c r="BW95" s="20"/>
      <c r="BX95" s="46">
        <f t="shared" si="68"/>
        <v>0</v>
      </c>
      <c r="BY95" s="41">
        <v>35</v>
      </c>
      <c r="BZ95" s="46">
        <f t="shared" si="69"/>
        <v>48</v>
      </c>
      <c r="CA95" s="49">
        <f t="shared" si="70"/>
        <v>3.0748170731707316</v>
      </c>
      <c r="CB95" s="49" cm="1">
        <f t="array" ref="CB95">$BC95 * SUMPRODUCT(INDEX($AL$66:$AN$71,,$AE95),INDEX($AO$66:$AU$71,,$AD95), N($AK$66:$AK$71&gt;$AI95)) / CA95 / 1000</f>
        <v>0</v>
      </c>
      <c r="CC95" s="50">
        <f t="shared" si="71"/>
        <v>30</v>
      </c>
      <c r="CD95" s="46">
        <f t="shared" si="72"/>
        <v>43</v>
      </c>
      <c r="CE95" s="49">
        <f t="shared" si="73"/>
        <v>3.5018750000000001</v>
      </c>
      <c r="CF95" s="49" cm="1">
        <f t="array" ref="CF95">$BC95 * IF($AD95&lt;=2,
SUMPRODUCT(INDEX($AL$61:$AN$65,,$AE95), INDEX($AO$61:$AU$65,,$AD95), 1 / ($AV$61:$AV$65*CE95 + (1-$AV$61:$AV$65)*CA95), N($AK$61:$AK$65&gt;$AI95)),
SUMPRODUCT(INDEX($AL$56:$AN$65,,$AE95), INDEX($AO$56:$AU$65,,$AD95), 1 / ($AW$56:$AW$65*CE95 + (1-$AW$56:$AW$65)*CA95), N($AK$56:$AK$65&gt;$AI95))
) / 1000</f>
        <v>0</v>
      </c>
      <c r="CG95" s="50">
        <f t="shared" si="74"/>
        <v>25</v>
      </c>
      <c r="CH95" s="46">
        <f t="shared" si="75"/>
        <v>38</v>
      </c>
      <c r="CI95" s="49">
        <f t="shared" si="76"/>
        <v>4.0666935483870965</v>
      </c>
      <c r="CJ95" s="49" cm="1">
        <f t="array" ref="CJ95">$BC95 * IF($AD95&lt;=2,
SUMPRODUCT(INDEX($AL$56:$AN$60,,$AE95), INDEX($AO$56:$AU$60,,$AD95), 1 / ($AV$56:$AV$60*CI95 + (1-$AV$56:$AV$60)*CE95), N($AK$56:$AK$60&gt;$AI95)),
SUMPRODUCT(INDEX($AL$46:$AN$55,,$AE95), INDEX($AO$46:$AU$55,,$AD95), 1 / ($AW$46:$AW$55*CI95 + (1-$AW$46:$AW$55)*CE95), N($AK$46:$AK$55&gt;$AI95))
) / 1000</f>
        <v>0</v>
      </c>
      <c r="CK95" s="50">
        <f t="shared" si="77"/>
        <v>20</v>
      </c>
      <c r="CL95" s="46">
        <f t="shared" si="78"/>
        <v>33</v>
      </c>
      <c r="CM95" s="49">
        <f t="shared" si="79"/>
        <v>4.8487499999999999</v>
      </c>
      <c r="CN95" s="49" cm="1">
        <f t="array" ref="CN95">$BC95 * IF($AD95&lt;=2,
SUMPRODUCT(INDEX($AL$51:$AN$55,,$AE95), INDEX($AO$51:$AU$55,,$AD95), 1 / ($AV$51:$AV$55*CM95 + (1-$AV$51:$AV$55)*CI95), N($AK$51:$AK$55&gt;$AI95)),
SUMPRODUCT(INDEX($AL$36:$AN$45,,$AE95), INDEX($AO$36:$AU$45,,$AD95), 1 / ($AW$36:$AW$45*CM95 + (1-$AW$36:$AW$45)*CI95), N($AK$36:$AK$45&gt;$AI95))
) / 1000</f>
        <v>0</v>
      </c>
      <c r="CO95" s="49" cm="1">
        <f t="array" ref="CO95">$BC95 * IF($AD95&lt;=2,
SUMPRODUCT(INDEX($AL$12:$AN$50,,$AE95), INDEX($AO$12:$AU$50,,$AD95), 1 / ($AV$12:$AV$50*CM95), N($AK$12:$AK$50&gt;$AI95)),
SUMPRODUCT(INDEX($AL$12:$AN$35,,$AE95), INDEX($AO$12:$AU$35,,$AD95), 1 / ($AW$12:$AW$35*CM95), N($AK$12:$AK$35&gt;$AI95))
) / 1000</f>
        <v>0</v>
      </c>
      <c r="CP95" s="46">
        <f t="shared" si="80"/>
        <v>0</v>
      </c>
      <c r="CQ95" s="20"/>
    </row>
    <row r="96" spans="1:95" s="95" customFormat="1" ht="14.25" customHeight="1" x14ac:dyDescent="0.2">
      <c r="A96" s="36" t="b">
        <f t="shared" si="44"/>
        <v>0</v>
      </c>
      <c r="B96" s="94">
        <v>85</v>
      </c>
      <c r="C96" s="7"/>
      <c r="D96" s="7"/>
      <c r="E96" s="33"/>
      <c r="F96" s="8" t="str">
        <f>IF(ISBLANK(E96), "", VLOOKUP(E96, Z!$A$2:$C$4127, 3, FALSE))</f>
        <v/>
      </c>
      <c r="G96" s="44"/>
      <c r="H96" s="44"/>
      <c r="I96" s="107"/>
      <c r="J96" s="108"/>
      <c r="K96" s="34"/>
      <c r="L96" s="59"/>
      <c r="M96" s="58" t="str" cm="1">
        <f t="array" ref="M96">IF($K96&gt;0, INDEX(Clean,1+AG96,$B$1), "")</f>
        <v/>
      </c>
      <c r="N96" s="62"/>
      <c r="O96" s="62"/>
      <c r="P96" s="63"/>
      <c r="Q96" s="52">
        <f t="shared" si="50"/>
        <v>0</v>
      </c>
      <c r="R96" s="58" t="str" cm="1">
        <f t="array" ref="R96">IF($K96&gt;0, INDEX(Clean,1+AH96,$B$1), "")</f>
        <v/>
      </c>
      <c r="S96" s="62"/>
      <c r="T96" s="62"/>
      <c r="U96" s="63"/>
      <c r="V96" s="52">
        <f t="shared" si="51"/>
        <v>0</v>
      </c>
      <c r="W96" s="6"/>
      <c r="X96" s="7"/>
      <c r="Y96" s="33"/>
      <c r="Z96" s="8" t="str">
        <f>IF(ISBLANK(Y96), "", VLOOKUP(Y96, Z!$A$2:$C$4127, 3, FALSE))</f>
        <v/>
      </c>
      <c r="AA96" s="38"/>
      <c r="AB96" s="9">
        <f t="shared" si="45"/>
        <v>0</v>
      </c>
      <c r="AC96" s="20"/>
      <c r="AD96" s="41">
        <f t="shared" si="46"/>
        <v>1</v>
      </c>
      <c r="AE96" s="41">
        <f t="shared" si="47"/>
        <v>1</v>
      </c>
      <c r="AF96" s="41">
        <f t="shared" si="48"/>
        <v>0</v>
      </c>
      <c r="AG96" s="41">
        <v>1</v>
      </c>
      <c r="AH96" s="41">
        <v>0</v>
      </c>
      <c r="AI96" s="41">
        <f t="shared" si="49"/>
        <v>-100</v>
      </c>
      <c r="AJ96" s="20"/>
      <c r="AK96" s="45"/>
      <c r="AL96" s="45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20"/>
      <c r="AY96" s="41" cm="1">
        <f t="array" ref="AY96">INDEX(Use, $AD96, 4)</f>
        <v>7</v>
      </c>
      <c r="AZ96" s="41">
        <f t="shared" si="52"/>
        <v>32</v>
      </c>
      <c r="BA96" s="41">
        <f t="shared" si="53"/>
        <v>13</v>
      </c>
      <c r="BB96" s="41">
        <f t="shared" si="54"/>
        <v>0</v>
      </c>
      <c r="BC96" s="57" cm="1">
        <f t="array" ref="BC96">K96/IF($L96&gt;0, INDEX($AO$12:$AU$66, $L96+20, $AD96), 1)</f>
        <v>0</v>
      </c>
      <c r="BD96" s="46">
        <f t="shared" si="55"/>
        <v>0</v>
      </c>
      <c r="BE96" s="41">
        <v>35</v>
      </c>
      <c r="BF96" s="46">
        <f t="shared" si="56"/>
        <v>52.55</v>
      </c>
      <c r="BG96" s="49">
        <f t="shared" si="57"/>
        <v>2.7676728869374316</v>
      </c>
      <c r="BH96" s="49" cm="1">
        <f t="array" ref="BH96">$BC96 * SUMPRODUCT(INDEX($AL$66:$AN$71,,$AE96),INDEX($AO$66:$AU$71,,$AD96), N($AK$66:$AK$71&gt;$AI96)) / BG96 / 1000</f>
        <v>0</v>
      </c>
      <c r="BI96" s="50">
        <f t="shared" si="58"/>
        <v>30</v>
      </c>
      <c r="BJ96" s="46">
        <f t="shared" si="59"/>
        <v>46.033333333333331</v>
      </c>
      <c r="BK96" s="49">
        <f t="shared" si="60"/>
        <v>3.2297395388556791</v>
      </c>
      <c r="BL96" s="49" cm="1">
        <f t="array" ref="BL96">$BC96 * IF($AD96&lt;=2,
SUMPRODUCT(INDEX($AL$61:$AN$65,,$AE96), INDEX($AO$61:$AU$65,,$AD96), 1 / ($AV$61:$AV$65*BK96 + (1-$AV$61:$AV$65)*BG96), N($AK$61:$AK$65&gt;$AI96)),
SUMPRODUCT(INDEX($AL$56:$AN$65,,$AE96), INDEX($AO$56:$AU$65,,$AD96), 1 / ($AW$56:$AW$65*BK96 + (1-$AW$56:$AW$65)*BG96), N($AK$56:$AK$65&gt;$AI96))
) / 1000</f>
        <v>0</v>
      </c>
      <c r="BM96" s="50">
        <f t="shared" si="61"/>
        <v>25</v>
      </c>
      <c r="BN96" s="46">
        <f t="shared" si="62"/>
        <v>39.516666666666666</v>
      </c>
      <c r="BO96" s="49">
        <f t="shared" si="63"/>
        <v>3.877011788826243</v>
      </c>
      <c r="BP96" s="49" cm="1">
        <f t="array" ref="BP96">$BC96 * IF($AD96&lt;=2,
SUMPRODUCT(INDEX($AL$56:$AN$60,,$AE96), INDEX($AO$56:$AU$60,,$AD96), 1 / ($AV$56:$AV$60*BO96 + (1-$AV$56:$AV$60)*BK96), N($AK$56:$AK$60&gt;$AI96)),
SUMPRODUCT(INDEX($AL$46:$AN$55,,$AE96), INDEX($AO$46:$AU$55,,$AD96), 1 / ($AW$46:$AW$55*BO96 + (1-$AW$46:$AW$55)*BK96), N($AK$46:$AK$55&gt;$AI96))
) / 1000</f>
        <v>0</v>
      </c>
      <c r="BQ96" s="50">
        <f t="shared" si="64"/>
        <v>20</v>
      </c>
      <c r="BR96" s="46">
        <f t="shared" si="65"/>
        <v>33</v>
      </c>
      <c r="BS96" s="49">
        <f t="shared" si="66"/>
        <v>4.8487499999999999</v>
      </c>
      <c r="BT96" s="49" cm="1">
        <f t="array" ref="BT96">$BC96 * IF($AD96&lt;=2,
SUMPRODUCT(INDEX($AL$51:$AN$55,,$AE96), INDEX($AO$51:$AU$55,,$AD96), 1 / ($AV$51:$AV$55*BS96 + (1-$AV$51:$AV$55)*BO96), N($AK$51:$AK$55&gt;$AI96)),
SUMPRODUCT(INDEX($AL$36:$AN$45,,$AE96), INDEX($AO$36:$AU$45,,$AD96), 1 / ($AW$36:$AW$45*BS96 + (1-$AW$36:$AW$45)*BO96), N($AK$36:$AK$45&gt;$AI96))
) / 1000</f>
        <v>0</v>
      </c>
      <c r="BU96" s="49" cm="1">
        <f t="array" ref="BU96">$BC96 * IF($AD96&lt;=2,
SUMPRODUCT(INDEX($AL$12:$AN$50,,$AE96), INDEX($AO$12:$AU$50,,$AD96), 1 / ($AV$12:$AV$50*BS96), N($AK$12:$AK$50&gt;$AI96)),
SUMPRODUCT(INDEX($AL$12:$AN$35,,$AE96), INDEX($AO$12:$AU$35,,$AD96), 1 / ($AW$12:$AW$35*BS96), N($AK$12:$AK$35&gt;$AI96))
) / 1000</f>
        <v>0</v>
      </c>
      <c r="BV96" s="46">
        <f t="shared" si="67"/>
        <v>0</v>
      </c>
      <c r="BW96" s="20"/>
      <c r="BX96" s="46">
        <f t="shared" si="68"/>
        <v>0</v>
      </c>
      <c r="BY96" s="41">
        <v>35</v>
      </c>
      <c r="BZ96" s="46">
        <f t="shared" si="69"/>
        <v>48</v>
      </c>
      <c r="CA96" s="49">
        <f t="shared" si="70"/>
        <v>3.0748170731707316</v>
      </c>
      <c r="CB96" s="49" cm="1">
        <f t="array" ref="CB96">$BC96 * SUMPRODUCT(INDEX($AL$66:$AN$71,,$AE96),INDEX($AO$66:$AU$71,,$AD96), N($AK$66:$AK$71&gt;$AI96)) / CA96 / 1000</f>
        <v>0</v>
      </c>
      <c r="CC96" s="50">
        <f t="shared" si="71"/>
        <v>30</v>
      </c>
      <c r="CD96" s="46">
        <f t="shared" si="72"/>
        <v>43</v>
      </c>
      <c r="CE96" s="49">
        <f t="shared" si="73"/>
        <v>3.5018750000000001</v>
      </c>
      <c r="CF96" s="49" cm="1">
        <f t="array" ref="CF96">$BC96 * IF($AD96&lt;=2,
SUMPRODUCT(INDEX($AL$61:$AN$65,,$AE96), INDEX($AO$61:$AU$65,,$AD96), 1 / ($AV$61:$AV$65*CE96 + (1-$AV$61:$AV$65)*CA96), N($AK$61:$AK$65&gt;$AI96)),
SUMPRODUCT(INDEX($AL$56:$AN$65,,$AE96), INDEX($AO$56:$AU$65,,$AD96), 1 / ($AW$56:$AW$65*CE96 + (1-$AW$56:$AW$65)*CA96), N($AK$56:$AK$65&gt;$AI96))
) / 1000</f>
        <v>0</v>
      </c>
      <c r="CG96" s="50">
        <f t="shared" si="74"/>
        <v>25</v>
      </c>
      <c r="CH96" s="46">
        <f t="shared" si="75"/>
        <v>38</v>
      </c>
      <c r="CI96" s="49">
        <f t="shared" si="76"/>
        <v>4.0666935483870965</v>
      </c>
      <c r="CJ96" s="49" cm="1">
        <f t="array" ref="CJ96">$BC96 * IF($AD96&lt;=2,
SUMPRODUCT(INDEX($AL$56:$AN$60,,$AE96), INDEX($AO$56:$AU$60,,$AD96), 1 / ($AV$56:$AV$60*CI96 + (1-$AV$56:$AV$60)*CE96), N($AK$56:$AK$60&gt;$AI96)),
SUMPRODUCT(INDEX($AL$46:$AN$55,,$AE96), INDEX($AO$46:$AU$55,,$AD96), 1 / ($AW$46:$AW$55*CI96 + (1-$AW$46:$AW$55)*CE96), N($AK$46:$AK$55&gt;$AI96))
) / 1000</f>
        <v>0</v>
      </c>
      <c r="CK96" s="50">
        <f t="shared" si="77"/>
        <v>20</v>
      </c>
      <c r="CL96" s="46">
        <f t="shared" si="78"/>
        <v>33</v>
      </c>
      <c r="CM96" s="49">
        <f t="shared" si="79"/>
        <v>4.8487499999999999</v>
      </c>
      <c r="CN96" s="49" cm="1">
        <f t="array" ref="CN96">$BC96 * IF($AD96&lt;=2,
SUMPRODUCT(INDEX($AL$51:$AN$55,,$AE96), INDEX($AO$51:$AU$55,,$AD96), 1 / ($AV$51:$AV$55*CM96 + (1-$AV$51:$AV$55)*CI96), N($AK$51:$AK$55&gt;$AI96)),
SUMPRODUCT(INDEX($AL$36:$AN$45,,$AE96), INDEX($AO$36:$AU$45,,$AD96), 1 / ($AW$36:$AW$45*CM96 + (1-$AW$36:$AW$45)*CI96), N($AK$36:$AK$45&gt;$AI96))
) / 1000</f>
        <v>0</v>
      </c>
      <c r="CO96" s="49" cm="1">
        <f t="array" ref="CO96">$BC96 * IF($AD96&lt;=2,
SUMPRODUCT(INDEX($AL$12:$AN$50,,$AE96), INDEX($AO$12:$AU$50,,$AD96), 1 / ($AV$12:$AV$50*CM96), N($AK$12:$AK$50&gt;$AI96)),
SUMPRODUCT(INDEX($AL$12:$AN$35,,$AE96), INDEX($AO$12:$AU$35,,$AD96), 1 / ($AW$12:$AW$35*CM96), N($AK$12:$AK$35&gt;$AI96))
) / 1000</f>
        <v>0</v>
      </c>
      <c r="CP96" s="46">
        <f t="shared" si="80"/>
        <v>0</v>
      </c>
      <c r="CQ96" s="20"/>
    </row>
    <row r="97" spans="1:95" s="95" customFormat="1" ht="14.25" customHeight="1" x14ac:dyDescent="0.2">
      <c r="A97" s="36" t="b">
        <f t="shared" si="44"/>
        <v>0</v>
      </c>
      <c r="B97" s="94">
        <v>86</v>
      </c>
      <c r="C97" s="7"/>
      <c r="D97" s="7"/>
      <c r="E97" s="33"/>
      <c r="F97" s="8" t="str">
        <f>IF(ISBLANK(E97), "", VLOOKUP(E97, Z!$A$2:$C$4127, 3, FALSE))</f>
        <v/>
      </c>
      <c r="G97" s="44"/>
      <c r="H97" s="44"/>
      <c r="I97" s="107"/>
      <c r="J97" s="108"/>
      <c r="K97" s="34"/>
      <c r="L97" s="59"/>
      <c r="M97" s="58" t="str" cm="1">
        <f t="array" ref="M97">IF($K97&gt;0, INDEX(Clean,1+AG97,$B$1), "")</f>
        <v/>
      </c>
      <c r="N97" s="62"/>
      <c r="O97" s="62"/>
      <c r="P97" s="63"/>
      <c r="Q97" s="52">
        <f t="shared" si="50"/>
        <v>0</v>
      </c>
      <c r="R97" s="58" t="str" cm="1">
        <f t="array" ref="R97">IF($K97&gt;0, INDEX(Clean,1+AH97,$B$1), "")</f>
        <v/>
      </c>
      <c r="S97" s="62"/>
      <c r="T97" s="62"/>
      <c r="U97" s="63"/>
      <c r="V97" s="52">
        <f t="shared" si="51"/>
        <v>0</v>
      </c>
      <c r="W97" s="6"/>
      <c r="X97" s="7"/>
      <c r="Y97" s="33"/>
      <c r="Z97" s="8" t="str">
        <f>IF(ISBLANK(Y97), "", VLOOKUP(Y97, Z!$A$2:$C$4127, 3, FALSE))</f>
        <v/>
      </c>
      <c r="AA97" s="38"/>
      <c r="AB97" s="9">
        <f t="shared" si="45"/>
        <v>0</v>
      </c>
      <c r="AC97" s="20"/>
      <c r="AD97" s="41">
        <f t="shared" si="46"/>
        <v>1</v>
      </c>
      <c r="AE97" s="41">
        <f t="shared" si="47"/>
        <v>1</v>
      </c>
      <c r="AF97" s="41">
        <f t="shared" si="48"/>
        <v>0</v>
      </c>
      <c r="AG97" s="41">
        <v>1</v>
      </c>
      <c r="AH97" s="41">
        <v>0</v>
      </c>
      <c r="AI97" s="41">
        <f t="shared" si="49"/>
        <v>-100</v>
      </c>
      <c r="AJ97" s="20"/>
      <c r="AK97" s="45"/>
      <c r="AL97" s="45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20"/>
      <c r="AY97" s="41" cm="1">
        <f t="array" ref="AY97">INDEX(Use, $AD97, 4)</f>
        <v>7</v>
      </c>
      <c r="AZ97" s="41">
        <f t="shared" si="52"/>
        <v>32</v>
      </c>
      <c r="BA97" s="41">
        <f t="shared" si="53"/>
        <v>13</v>
      </c>
      <c r="BB97" s="41">
        <f t="shared" si="54"/>
        <v>0</v>
      </c>
      <c r="BC97" s="57" cm="1">
        <f t="array" ref="BC97">K97/IF($L97&gt;0, INDEX($AO$12:$AU$66, $L97+20, $AD97), 1)</f>
        <v>0</v>
      </c>
      <c r="BD97" s="46">
        <f t="shared" si="55"/>
        <v>0</v>
      </c>
      <c r="BE97" s="41">
        <v>35</v>
      </c>
      <c r="BF97" s="46">
        <f t="shared" si="56"/>
        <v>52.55</v>
      </c>
      <c r="BG97" s="49">
        <f t="shared" si="57"/>
        <v>2.7676728869374316</v>
      </c>
      <c r="BH97" s="49" cm="1">
        <f t="array" ref="BH97">$BC97 * SUMPRODUCT(INDEX($AL$66:$AN$71,,$AE97),INDEX($AO$66:$AU$71,,$AD97), N($AK$66:$AK$71&gt;$AI97)) / BG97 / 1000</f>
        <v>0</v>
      </c>
      <c r="BI97" s="50">
        <f t="shared" si="58"/>
        <v>30</v>
      </c>
      <c r="BJ97" s="46">
        <f t="shared" si="59"/>
        <v>46.033333333333331</v>
      </c>
      <c r="BK97" s="49">
        <f t="shared" si="60"/>
        <v>3.2297395388556791</v>
      </c>
      <c r="BL97" s="49" cm="1">
        <f t="array" ref="BL97">$BC97 * IF($AD97&lt;=2,
SUMPRODUCT(INDEX($AL$61:$AN$65,,$AE97), INDEX($AO$61:$AU$65,,$AD97), 1 / ($AV$61:$AV$65*BK97 + (1-$AV$61:$AV$65)*BG97), N($AK$61:$AK$65&gt;$AI97)),
SUMPRODUCT(INDEX($AL$56:$AN$65,,$AE97), INDEX($AO$56:$AU$65,,$AD97), 1 / ($AW$56:$AW$65*BK97 + (1-$AW$56:$AW$65)*BG97), N($AK$56:$AK$65&gt;$AI97))
) / 1000</f>
        <v>0</v>
      </c>
      <c r="BM97" s="50">
        <f t="shared" si="61"/>
        <v>25</v>
      </c>
      <c r="BN97" s="46">
        <f t="shared" si="62"/>
        <v>39.516666666666666</v>
      </c>
      <c r="BO97" s="49">
        <f t="shared" si="63"/>
        <v>3.877011788826243</v>
      </c>
      <c r="BP97" s="49" cm="1">
        <f t="array" ref="BP97">$BC97 * IF($AD97&lt;=2,
SUMPRODUCT(INDEX($AL$56:$AN$60,,$AE97), INDEX($AO$56:$AU$60,,$AD97), 1 / ($AV$56:$AV$60*BO97 + (1-$AV$56:$AV$60)*BK97), N($AK$56:$AK$60&gt;$AI97)),
SUMPRODUCT(INDEX($AL$46:$AN$55,,$AE97), INDEX($AO$46:$AU$55,,$AD97), 1 / ($AW$46:$AW$55*BO97 + (1-$AW$46:$AW$55)*BK97), N($AK$46:$AK$55&gt;$AI97))
) / 1000</f>
        <v>0</v>
      </c>
      <c r="BQ97" s="50">
        <f t="shared" si="64"/>
        <v>20</v>
      </c>
      <c r="BR97" s="46">
        <f t="shared" si="65"/>
        <v>33</v>
      </c>
      <c r="BS97" s="49">
        <f t="shared" si="66"/>
        <v>4.8487499999999999</v>
      </c>
      <c r="BT97" s="49" cm="1">
        <f t="array" ref="BT97">$BC97 * IF($AD97&lt;=2,
SUMPRODUCT(INDEX($AL$51:$AN$55,,$AE97), INDEX($AO$51:$AU$55,,$AD97), 1 / ($AV$51:$AV$55*BS97 + (1-$AV$51:$AV$55)*BO97), N($AK$51:$AK$55&gt;$AI97)),
SUMPRODUCT(INDEX($AL$36:$AN$45,,$AE97), INDEX($AO$36:$AU$45,,$AD97), 1 / ($AW$36:$AW$45*BS97 + (1-$AW$36:$AW$45)*BO97), N($AK$36:$AK$45&gt;$AI97))
) / 1000</f>
        <v>0</v>
      </c>
      <c r="BU97" s="49" cm="1">
        <f t="array" ref="BU97">$BC97 * IF($AD97&lt;=2,
SUMPRODUCT(INDEX($AL$12:$AN$50,,$AE97), INDEX($AO$12:$AU$50,,$AD97), 1 / ($AV$12:$AV$50*BS97), N($AK$12:$AK$50&gt;$AI97)),
SUMPRODUCT(INDEX($AL$12:$AN$35,,$AE97), INDEX($AO$12:$AU$35,,$AD97), 1 / ($AW$12:$AW$35*BS97), N($AK$12:$AK$35&gt;$AI97))
) / 1000</f>
        <v>0</v>
      </c>
      <c r="BV97" s="46">
        <f t="shared" si="67"/>
        <v>0</v>
      </c>
      <c r="BW97" s="20"/>
      <c r="BX97" s="46">
        <f t="shared" si="68"/>
        <v>0</v>
      </c>
      <c r="BY97" s="41">
        <v>35</v>
      </c>
      <c r="BZ97" s="46">
        <f t="shared" si="69"/>
        <v>48</v>
      </c>
      <c r="CA97" s="49">
        <f t="shared" si="70"/>
        <v>3.0748170731707316</v>
      </c>
      <c r="CB97" s="49" cm="1">
        <f t="array" ref="CB97">$BC97 * SUMPRODUCT(INDEX($AL$66:$AN$71,,$AE97),INDEX($AO$66:$AU$71,,$AD97), N($AK$66:$AK$71&gt;$AI97)) / CA97 / 1000</f>
        <v>0</v>
      </c>
      <c r="CC97" s="50">
        <f t="shared" si="71"/>
        <v>30</v>
      </c>
      <c r="CD97" s="46">
        <f t="shared" si="72"/>
        <v>43</v>
      </c>
      <c r="CE97" s="49">
        <f t="shared" si="73"/>
        <v>3.5018750000000001</v>
      </c>
      <c r="CF97" s="49" cm="1">
        <f t="array" ref="CF97">$BC97 * IF($AD97&lt;=2,
SUMPRODUCT(INDEX($AL$61:$AN$65,,$AE97), INDEX($AO$61:$AU$65,,$AD97), 1 / ($AV$61:$AV$65*CE97 + (1-$AV$61:$AV$65)*CA97), N($AK$61:$AK$65&gt;$AI97)),
SUMPRODUCT(INDEX($AL$56:$AN$65,,$AE97), INDEX($AO$56:$AU$65,,$AD97), 1 / ($AW$56:$AW$65*CE97 + (1-$AW$56:$AW$65)*CA97), N($AK$56:$AK$65&gt;$AI97))
) / 1000</f>
        <v>0</v>
      </c>
      <c r="CG97" s="50">
        <f t="shared" si="74"/>
        <v>25</v>
      </c>
      <c r="CH97" s="46">
        <f t="shared" si="75"/>
        <v>38</v>
      </c>
      <c r="CI97" s="49">
        <f t="shared" si="76"/>
        <v>4.0666935483870965</v>
      </c>
      <c r="CJ97" s="49" cm="1">
        <f t="array" ref="CJ97">$BC97 * IF($AD97&lt;=2,
SUMPRODUCT(INDEX($AL$56:$AN$60,,$AE97), INDEX($AO$56:$AU$60,,$AD97), 1 / ($AV$56:$AV$60*CI97 + (1-$AV$56:$AV$60)*CE97), N($AK$56:$AK$60&gt;$AI97)),
SUMPRODUCT(INDEX($AL$46:$AN$55,,$AE97), INDEX($AO$46:$AU$55,,$AD97), 1 / ($AW$46:$AW$55*CI97 + (1-$AW$46:$AW$55)*CE97), N($AK$46:$AK$55&gt;$AI97))
) / 1000</f>
        <v>0</v>
      </c>
      <c r="CK97" s="50">
        <f t="shared" si="77"/>
        <v>20</v>
      </c>
      <c r="CL97" s="46">
        <f t="shared" si="78"/>
        <v>33</v>
      </c>
      <c r="CM97" s="49">
        <f t="shared" si="79"/>
        <v>4.8487499999999999</v>
      </c>
      <c r="CN97" s="49" cm="1">
        <f t="array" ref="CN97">$BC97 * IF($AD97&lt;=2,
SUMPRODUCT(INDEX($AL$51:$AN$55,,$AE97), INDEX($AO$51:$AU$55,,$AD97), 1 / ($AV$51:$AV$55*CM97 + (1-$AV$51:$AV$55)*CI97), N($AK$51:$AK$55&gt;$AI97)),
SUMPRODUCT(INDEX($AL$36:$AN$45,,$AE97), INDEX($AO$36:$AU$45,,$AD97), 1 / ($AW$36:$AW$45*CM97 + (1-$AW$36:$AW$45)*CI97), N($AK$36:$AK$45&gt;$AI97))
) / 1000</f>
        <v>0</v>
      </c>
      <c r="CO97" s="49" cm="1">
        <f t="array" ref="CO97">$BC97 * IF($AD97&lt;=2,
SUMPRODUCT(INDEX($AL$12:$AN$50,,$AE97), INDEX($AO$12:$AU$50,,$AD97), 1 / ($AV$12:$AV$50*CM97), N($AK$12:$AK$50&gt;$AI97)),
SUMPRODUCT(INDEX($AL$12:$AN$35,,$AE97), INDEX($AO$12:$AU$35,,$AD97), 1 / ($AW$12:$AW$35*CM97), N($AK$12:$AK$35&gt;$AI97))
) / 1000</f>
        <v>0</v>
      </c>
      <c r="CP97" s="46">
        <f t="shared" si="80"/>
        <v>0</v>
      </c>
      <c r="CQ97" s="20"/>
    </row>
    <row r="98" spans="1:95" s="95" customFormat="1" ht="14.25" customHeight="1" x14ac:dyDescent="0.2">
      <c r="A98" s="36" t="b">
        <f t="shared" si="44"/>
        <v>0</v>
      </c>
      <c r="B98" s="94">
        <v>87</v>
      </c>
      <c r="C98" s="7"/>
      <c r="D98" s="7"/>
      <c r="E98" s="33"/>
      <c r="F98" s="8" t="str">
        <f>IF(ISBLANK(E98), "", VLOOKUP(E98, Z!$A$2:$C$4127, 3, FALSE))</f>
        <v/>
      </c>
      <c r="G98" s="44"/>
      <c r="H98" s="44"/>
      <c r="I98" s="107"/>
      <c r="J98" s="108"/>
      <c r="K98" s="34"/>
      <c r="L98" s="59"/>
      <c r="M98" s="58" t="str" cm="1">
        <f t="array" ref="M98">IF($K98&gt;0, INDEX(Clean,1+AG98,$B$1), "")</f>
        <v/>
      </c>
      <c r="N98" s="62"/>
      <c r="O98" s="62"/>
      <c r="P98" s="63"/>
      <c r="Q98" s="52">
        <f t="shared" si="50"/>
        <v>0</v>
      </c>
      <c r="R98" s="58" t="str" cm="1">
        <f t="array" ref="R98">IF($K98&gt;0, INDEX(Clean,1+AH98,$B$1), "")</f>
        <v/>
      </c>
      <c r="S98" s="62"/>
      <c r="T98" s="62"/>
      <c r="U98" s="63"/>
      <c r="V98" s="52">
        <f t="shared" si="51"/>
        <v>0</v>
      </c>
      <c r="W98" s="6"/>
      <c r="X98" s="7"/>
      <c r="Y98" s="33"/>
      <c r="Z98" s="8" t="str">
        <f>IF(ISBLANK(Y98), "", VLOOKUP(Y98, Z!$A$2:$C$4127, 3, FALSE))</f>
        <v/>
      </c>
      <c r="AA98" s="38"/>
      <c r="AB98" s="9">
        <f t="shared" si="45"/>
        <v>0</v>
      </c>
      <c r="AC98" s="20"/>
      <c r="AD98" s="41">
        <f t="shared" si="46"/>
        <v>1</v>
      </c>
      <c r="AE98" s="41">
        <f t="shared" si="47"/>
        <v>1</v>
      </c>
      <c r="AF98" s="41">
        <f t="shared" si="48"/>
        <v>0</v>
      </c>
      <c r="AG98" s="41">
        <v>1</v>
      </c>
      <c r="AH98" s="41">
        <v>0</v>
      </c>
      <c r="AI98" s="41">
        <f t="shared" si="49"/>
        <v>-100</v>
      </c>
      <c r="AJ98" s="20"/>
      <c r="AK98" s="45"/>
      <c r="AL98" s="45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20"/>
      <c r="AY98" s="41" cm="1">
        <f t="array" ref="AY98">INDEX(Use, $AD98, 4)</f>
        <v>7</v>
      </c>
      <c r="AZ98" s="41">
        <f t="shared" si="52"/>
        <v>32</v>
      </c>
      <c r="BA98" s="41">
        <f t="shared" si="53"/>
        <v>13</v>
      </c>
      <c r="BB98" s="41">
        <f t="shared" si="54"/>
        <v>0</v>
      </c>
      <c r="BC98" s="57" cm="1">
        <f t="array" ref="BC98">K98/IF($L98&gt;0, INDEX($AO$12:$AU$66, $L98+20, $AD98), 1)</f>
        <v>0</v>
      </c>
      <c r="BD98" s="46">
        <f t="shared" si="55"/>
        <v>0</v>
      </c>
      <c r="BE98" s="41">
        <v>35</v>
      </c>
      <c r="BF98" s="46">
        <f t="shared" si="56"/>
        <v>52.55</v>
      </c>
      <c r="BG98" s="49">
        <f t="shared" si="57"/>
        <v>2.7676728869374316</v>
      </c>
      <c r="BH98" s="49" cm="1">
        <f t="array" ref="BH98">$BC98 * SUMPRODUCT(INDEX($AL$66:$AN$71,,$AE98),INDEX($AO$66:$AU$71,,$AD98), N($AK$66:$AK$71&gt;$AI98)) / BG98 / 1000</f>
        <v>0</v>
      </c>
      <c r="BI98" s="50">
        <f t="shared" si="58"/>
        <v>30</v>
      </c>
      <c r="BJ98" s="46">
        <f t="shared" si="59"/>
        <v>46.033333333333331</v>
      </c>
      <c r="BK98" s="49">
        <f t="shared" si="60"/>
        <v>3.2297395388556791</v>
      </c>
      <c r="BL98" s="49" cm="1">
        <f t="array" ref="BL98">$BC98 * IF($AD98&lt;=2,
SUMPRODUCT(INDEX($AL$61:$AN$65,,$AE98), INDEX($AO$61:$AU$65,,$AD98), 1 / ($AV$61:$AV$65*BK98 + (1-$AV$61:$AV$65)*BG98), N($AK$61:$AK$65&gt;$AI98)),
SUMPRODUCT(INDEX($AL$56:$AN$65,,$AE98), INDEX($AO$56:$AU$65,,$AD98), 1 / ($AW$56:$AW$65*BK98 + (1-$AW$56:$AW$65)*BG98), N($AK$56:$AK$65&gt;$AI98))
) / 1000</f>
        <v>0</v>
      </c>
      <c r="BM98" s="50">
        <f t="shared" si="61"/>
        <v>25</v>
      </c>
      <c r="BN98" s="46">
        <f t="shared" si="62"/>
        <v>39.516666666666666</v>
      </c>
      <c r="BO98" s="49">
        <f t="shared" si="63"/>
        <v>3.877011788826243</v>
      </c>
      <c r="BP98" s="49" cm="1">
        <f t="array" ref="BP98">$BC98 * IF($AD98&lt;=2,
SUMPRODUCT(INDEX($AL$56:$AN$60,,$AE98), INDEX($AO$56:$AU$60,,$AD98), 1 / ($AV$56:$AV$60*BO98 + (1-$AV$56:$AV$60)*BK98), N($AK$56:$AK$60&gt;$AI98)),
SUMPRODUCT(INDEX($AL$46:$AN$55,,$AE98), INDEX($AO$46:$AU$55,,$AD98), 1 / ($AW$46:$AW$55*BO98 + (1-$AW$46:$AW$55)*BK98), N($AK$46:$AK$55&gt;$AI98))
) / 1000</f>
        <v>0</v>
      </c>
      <c r="BQ98" s="50">
        <f t="shared" si="64"/>
        <v>20</v>
      </c>
      <c r="BR98" s="46">
        <f t="shared" si="65"/>
        <v>33</v>
      </c>
      <c r="BS98" s="49">
        <f t="shared" si="66"/>
        <v>4.8487499999999999</v>
      </c>
      <c r="BT98" s="49" cm="1">
        <f t="array" ref="BT98">$BC98 * IF($AD98&lt;=2,
SUMPRODUCT(INDEX($AL$51:$AN$55,,$AE98), INDEX($AO$51:$AU$55,,$AD98), 1 / ($AV$51:$AV$55*BS98 + (1-$AV$51:$AV$55)*BO98), N($AK$51:$AK$55&gt;$AI98)),
SUMPRODUCT(INDEX($AL$36:$AN$45,,$AE98), INDEX($AO$36:$AU$45,,$AD98), 1 / ($AW$36:$AW$45*BS98 + (1-$AW$36:$AW$45)*BO98), N($AK$36:$AK$45&gt;$AI98))
) / 1000</f>
        <v>0</v>
      </c>
      <c r="BU98" s="49" cm="1">
        <f t="array" ref="BU98">$BC98 * IF($AD98&lt;=2,
SUMPRODUCT(INDEX($AL$12:$AN$50,,$AE98), INDEX($AO$12:$AU$50,,$AD98), 1 / ($AV$12:$AV$50*BS98), N($AK$12:$AK$50&gt;$AI98)),
SUMPRODUCT(INDEX($AL$12:$AN$35,,$AE98), INDEX($AO$12:$AU$35,,$AD98), 1 / ($AW$12:$AW$35*BS98), N($AK$12:$AK$35&gt;$AI98))
) / 1000</f>
        <v>0</v>
      </c>
      <c r="BV98" s="46">
        <f t="shared" si="67"/>
        <v>0</v>
      </c>
      <c r="BW98" s="20"/>
      <c r="BX98" s="46">
        <f t="shared" si="68"/>
        <v>0</v>
      </c>
      <c r="BY98" s="41">
        <v>35</v>
      </c>
      <c r="BZ98" s="46">
        <f t="shared" si="69"/>
        <v>48</v>
      </c>
      <c r="CA98" s="49">
        <f t="shared" si="70"/>
        <v>3.0748170731707316</v>
      </c>
      <c r="CB98" s="49" cm="1">
        <f t="array" ref="CB98">$BC98 * SUMPRODUCT(INDEX($AL$66:$AN$71,,$AE98),INDEX($AO$66:$AU$71,,$AD98), N($AK$66:$AK$71&gt;$AI98)) / CA98 / 1000</f>
        <v>0</v>
      </c>
      <c r="CC98" s="50">
        <f t="shared" si="71"/>
        <v>30</v>
      </c>
      <c r="CD98" s="46">
        <f t="shared" si="72"/>
        <v>43</v>
      </c>
      <c r="CE98" s="49">
        <f t="shared" si="73"/>
        <v>3.5018750000000001</v>
      </c>
      <c r="CF98" s="49" cm="1">
        <f t="array" ref="CF98">$BC98 * IF($AD98&lt;=2,
SUMPRODUCT(INDEX($AL$61:$AN$65,,$AE98), INDEX($AO$61:$AU$65,,$AD98), 1 / ($AV$61:$AV$65*CE98 + (1-$AV$61:$AV$65)*CA98), N($AK$61:$AK$65&gt;$AI98)),
SUMPRODUCT(INDEX($AL$56:$AN$65,,$AE98), INDEX($AO$56:$AU$65,,$AD98), 1 / ($AW$56:$AW$65*CE98 + (1-$AW$56:$AW$65)*CA98), N($AK$56:$AK$65&gt;$AI98))
) / 1000</f>
        <v>0</v>
      </c>
      <c r="CG98" s="50">
        <f t="shared" si="74"/>
        <v>25</v>
      </c>
      <c r="CH98" s="46">
        <f t="shared" si="75"/>
        <v>38</v>
      </c>
      <c r="CI98" s="49">
        <f t="shared" si="76"/>
        <v>4.0666935483870965</v>
      </c>
      <c r="CJ98" s="49" cm="1">
        <f t="array" ref="CJ98">$BC98 * IF($AD98&lt;=2,
SUMPRODUCT(INDEX($AL$56:$AN$60,,$AE98), INDEX($AO$56:$AU$60,,$AD98), 1 / ($AV$56:$AV$60*CI98 + (1-$AV$56:$AV$60)*CE98), N($AK$56:$AK$60&gt;$AI98)),
SUMPRODUCT(INDEX($AL$46:$AN$55,,$AE98), INDEX($AO$46:$AU$55,,$AD98), 1 / ($AW$46:$AW$55*CI98 + (1-$AW$46:$AW$55)*CE98), N($AK$46:$AK$55&gt;$AI98))
) / 1000</f>
        <v>0</v>
      </c>
      <c r="CK98" s="50">
        <f t="shared" si="77"/>
        <v>20</v>
      </c>
      <c r="CL98" s="46">
        <f t="shared" si="78"/>
        <v>33</v>
      </c>
      <c r="CM98" s="49">
        <f t="shared" si="79"/>
        <v>4.8487499999999999</v>
      </c>
      <c r="CN98" s="49" cm="1">
        <f t="array" ref="CN98">$BC98 * IF($AD98&lt;=2,
SUMPRODUCT(INDEX($AL$51:$AN$55,,$AE98), INDEX($AO$51:$AU$55,,$AD98), 1 / ($AV$51:$AV$55*CM98 + (1-$AV$51:$AV$55)*CI98), N($AK$51:$AK$55&gt;$AI98)),
SUMPRODUCT(INDEX($AL$36:$AN$45,,$AE98), INDEX($AO$36:$AU$45,,$AD98), 1 / ($AW$36:$AW$45*CM98 + (1-$AW$36:$AW$45)*CI98), N($AK$36:$AK$45&gt;$AI98))
) / 1000</f>
        <v>0</v>
      </c>
      <c r="CO98" s="49" cm="1">
        <f t="array" ref="CO98">$BC98 * IF($AD98&lt;=2,
SUMPRODUCT(INDEX($AL$12:$AN$50,,$AE98), INDEX($AO$12:$AU$50,,$AD98), 1 / ($AV$12:$AV$50*CM98), N($AK$12:$AK$50&gt;$AI98)),
SUMPRODUCT(INDEX($AL$12:$AN$35,,$AE98), INDEX($AO$12:$AU$35,,$AD98), 1 / ($AW$12:$AW$35*CM98), N($AK$12:$AK$35&gt;$AI98))
) / 1000</f>
        <v>0</v>
      </c>
      <c r="CP98" s="46">
        <f t="shared" si="80"/>
        <v>0</v>
      </c>
      <c r="CQ98" s="20"/>
    </row>
    <row r="99" spans="1:95" s="95" customFormat="1" ht="14.25" customHeight="1" x14ac:dyDescent="0.2">
      <c r="A99" s="36" t="b">
        <f t="shared" si="44"/>
        <v>0</v>
      </c>
      <c r="B99" s="94">
        <v>88</v>
      </c>
      <c r="C99" s="7"/>
      <c r="D99" s="7"/>
      <c r="E99" s="33"/>
      <c r="F99" s="8" t="str">
        <f>IF(ISBLANK(E99), "", VLOOKUP(E99, Z!$A$2:$C$4127, 3, FALSE))</f>
        <v/>
      </c>
      <c r="G99" s="44"/>
      <c r="H99" s="44"/>
      <c r="I99" s="107"/>
      <c r="J99" s="108"/>
      <c r="K99" s="34"/>
      <c r="L99" s="59"/>
      <c r="M99" s="58" t="str" cm="1">
        <f t="array" ref="M99">IF($K99&gt;0, INDEX(Clean,1+AG99,$B$1), "")</f>
        <v/>
      </c>
      <c r="N99" s="62"/>
      <c r="O99" s="62"/>
      <c r="P99" s="63"/>
      <c r="Q99" s="52">
        <f t="shared" si="50"/>
        <v>0</v>
      </c>
      <c r="R99" s="58" t="str" cm="1">
        <f t="array" ref="R99">IF($K99&gt;0, INDEX(Clean,1+AH99,$B$1), "")</f>
        <v/>
      </c>
      <c r="S99" s="62"/>
      <c r="T99" s="62"/>
      <c r="U99" s="63"/>
      <c r="V99" s="52">
        <f t="shared" si="51"/>
        <v>0</v>
      </c>
      <c r="W99" s="6"/>
      <c r="X99" s="7"/>
      <c r="Y99" s="33"/>
      <c r="Z99" s="8" t="str">
        <f>IF(ISBLANK(Y99), "", VLOOKUP(Y99, Z!$A$2:$C$4127, 3, FALSE))</f>
        <v/>
      </c>
      <c r="AA99" s="38"/>
      <c r="AB99" s="9">
        <f t="shared" si="45"/>
        <v>0</v>
      </c>
      <c r="AC99" s="20"/>
      <c r="AD99" s="41">
        <f t="shared" si="46"/>
        <v>1</v>
      </c>
      <c r="AE99" s="41">
        <f t="shared" si="47"/>
        <v>1</v>
      </c>
      <c r="AF99" s="41">
        <f t="shared" si="48"/>
        <v>0</v>
      </c>
      <c r="AG99" s="41">
        <v>1</v>
      </c>
      <c r="AH99" s="41">
        <v>0</v>
      </c>
      <c r="AI99" s="41">
        <f t="shared" si="49"/>
        <v>-100</v>
      </c>
      <c r="AJ99" s="20"/>
      <c r="AK99" s="45"/>
      <c r="AL99" s="45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20"/>
      <c r="AY99" s="41" cm="1">
        <f t="array" ref="AY99">INDEX(Use, $AD99, 4)</f>
        <v>7</v>
      </c>
      <c r="AZ99" s="41">
        <f t="shared" si="52"/>
        <v>32</v>
      </c>
      <c r="BA99" s="41">
        <f t="shared" si="53"/>
        <v>13</v>
      </c>
      <c r="BB99" s="41">
        <f t="shared" si="54"/>
        <v>0</v>
      </c>
      <c r="BC99" s="57" cm="1">
        <f t="array" ref="BC99">K99/IF($L99&gt;0, INDEX($AO$12:$AU$66, $L99+20, $AD99), 1)</f>
        <v>0</v>
      </c>
      <c r="BD99" s="46">
        <f t="shared" si="55"/>
        <v>0</v>
      </c>
      <c r="BE99" s="41">
        <v>35</v>
      </c>
      <c r="BF99" s="46">
        <f t="shared" si="56"/>
        <v>52.55</v>
      </c>
      <c r="BG99" s="49">
        <f t="shared" si="57"/>
        <v>2.7676728869374316</v>
      </c>
      <c r="BH99" s="49" cm="1">
        <f t="array" ref="BH99">$BC99 * SUMPRODUCT(INDEX($AL$66:$AN$71,,$AE99),INDEX($AO$66:$AU$71,,$AD99), N($AK$66:$AK$71&gt;$AI99)) / BG99 / 1000</f>
        <v>0</v>
      </c>
      <c r="BI99" s="50">
        <f t="shared" si="58"/>
        <v>30</v>
      </c>
      <c r="BJ99" s="46">
        <f t="shared" si="59"/>
        <v>46.033333333333331</v>
      </c>
      <c r="BK99" s="49">
        <f t="shared" si="60"/>
        <v>3.2297395388556791</v>
      </c>
      <c r="BL99" s="49" cm="1">
        <f t="array" ref="BL99">$BC99 * IF($AD99&lt;=2,
SUMPRODUCT(INDEX($AL$61:$AN$65,,$AE99), INDEX($AO$61:$AU$65,,$AD99), 1 / ($AV$61:$AV$65*BK99 + (1-$AV$61:$AV$65)*BG99), N($AK$61:$AK$65&gt;$AI99)),
SUMPRODUCT(INDEX($AL$56:$AN$65,,$AE99), INDEX($AO$56:$AU$65,,$AD99), 1 / ($AW$56:$AW$65*BK99 + (1-$AW$56:$AW$65)*BG99), N($AK$56:$AK$65&gt;$AI99))
) / 1000</f>
        <v>0</v>
      </c>
      <c r="BM99" s="50">
        <f t="shared" si="61"/>
        <v>25</v>
      </c>
      <c r="BN99" s="46">
        <f t="shared" si="62"/>
        <v>39.516666666666666</v>
      </c>
      <c r="BO99" s="49">
        <f t="shared" si="63"/>
        <v>3.877011788826243</v>
      </c>
      <c r="BP99" s="49" cm="1">
        <f t="array" ref="BP99">$BC99 * IF($AD99&lt;=2,
SUMPRODUCT(INDEX($AL$56:$AN$60,,$AE99), INDEX($AO$56:$AU$60,,$AD99), 1 / ($AV$56:$AV$60*BO99 + (1-$AV$56:$AV$60)*BK99), N($AK$56:$AK$60&gt;$AI99)),
SUMPRODUCT(INDEX($AL$46:$AN$55,,$AE99), INDEX($AO$46:$AU$55,,$AD99), 1 / ($AW$46:$AW$55*BO99 + (1-$AW$46:$AW$55)*BK99), N($AK$46:$AK$55&gt;$AI99))
) / 1000</f>
        <v>0</v>
      </c>
      <c r="BQ99" s="50">
        <f t="shared" si="64"/>
        <v>20</v>
      </c>
      <c r="BR99" s="46">
        <f t="shared" si="65"/>
        <v>33</v>
      </c>
      <c r="BS99" s="49">
        <f t="shared" si="66"/>
        <v>4.8487499999999999</v>
      </c>
      <c r="BT99" s="49" cm="1">
        <f t="array" ref="BT99">$BC99 * IF($AD99&lt;=2,
SUMPRODUCT(INDEX($AL$51:$AN$55,,$AE99), INDEX($AO$51:$AU$55,,$AD99), 1 / ($AV$51:$AV$55*BS99 + (1-$AV$51:$AV$55)*BO99), N($AK$51:$AK$55&gt;$AI99)),
SUMPRODUCT(INDEX($AL$36:$AN$45,,$AE99), INDEX($AO$36:$AU$45,,$AD99), 1 / ($AW$36:$AW$45*BS99 + (1-$AW$36:$AW$45)*BO99), N($AK$36:$AK$45&gt;$AI99))
) / 1000</f>
        <v>0</v>
      </c>
      <c r="BU99" s="49" cm="1">
        <f t="array" ref="BU99">$BC99 * IF($AD99&lt;=2,
SUMPRODUCT(INDEX($AL$12:$AN$50,,$AE99), INDEX($AO$12:$AU$50,,$AD99), 1 / ($AV$12:$AV$50*BS99), N($AK$12:$AK$50&gt;$AI99)),
SUMPRODUCT(INDEX($AL$12:$AN$35,,$AE99), INDEX($AO$12:$AU$35,,$AD99), 1 / ($AW$12:$AW$35*BS99), N($AK$12:$AK$35&gt;$AI99))
) / 1000</f>
        <v>0</v>
      </c>
      <c r="BV99" s="46">
        <f t="shared" si="67"/>
        <v>0</v>
      </c>
      <c r="BW99" s="20"/>
      <c r="BX99" s="46">
        <f t="shared" si="68"/>
        <v>0</v>
      </c>
      <c r="BY99" s="41">
        <v>35</v>
      </c>
      <c r="BZ99" s="46">
        <f t="shared" si="69"/>
        <v>48</v>
      </c>
      <c r="CA99" s="49">
        <f t="shared" si="70"/>
        <v>3.0748170731707316</v>
      </c>
      <c r="CB99" s="49" cm="1">
        <f t="array" ref="CB99">$BC99 * SUMPRODUCT(INDEX($AL$66:$AN$71,,$AE99),INDEX($AO$66:$AU$71,,$AD99), N($AK$66:$AK$71&gt;$AI99)) / CA99 / 1000</f>
        <v>0</v>
      </c>
      <c r="CC99" s="50">
        <f t="shared" si="71"/>
        <v>30</v>
      </c>
      <c r="CD99" s="46">
        <f t="shared" si="72"/>
        <v>43</v>
      </c>
      <c r="CE99" s="49">
        <f t="shared" si="73"/>
        <v>3.5018750000000001</v>
      </c>
      <c r="CF99" s="49" cm="1">
        <f t="array" ref="CF99">$BC99 * IF($AD99&lt;=2,
SUMPRODUCT(INDEX($AL$61:$AN$65,,$AE99), INDEX($AO$61:$AU$65,,$AD99), 1 / ($AV$61:$AV$65*CE99 + (1-$AV$61:$AV$65)*CA99), N($AK$61:$AK$65&gt;$AI99)),
SUMPRODUCT(INDEX($AL$56:$AN$65,,$AE99), INDEX($AO$56:$AU$65,,$AD99), 1 / ($AW$56:$AW$65*CE99 + (1-$AW$56:$AW$65)*CA99), N($AK$56:$AK$65&gt;$AI99))
) / 1000</f>
        <v>0</v>
      </c>
      <c r="CG99" s="50">
        <f t="shared" si="74"/>
        <v>25</v>
      </c>
      <c r="CH99" s="46">
        <f t="shared" si="75"/>
        <v>38</v>
      </c>
      <c r="CI99" s="49">
        <f t="shared" si="76"/>
        <v>4.0666935483870965</v>
      </c>
      <c r="CJ99" s="49" cm="1">
        <f t="array" ref="CJ99">$BC99 * IF($AD99&lt;=2,
SUMPRODUCT(INDEX($AL$56:$AN$60,,$AE99), INDEX($AO$56:$AU$60,,$AD99), 1 / ($AV$56:$AV$60*CI99 + (1-$AV$56:$AV$60)*CE99), N($AK$56:$AK$60&gt;$AI99)),
SUMPRODUCT(INDEX($AL$46:$AN$55,,$AE99), INDEX($AO$46:$AU$55,,$AD99), 1 / ($AW$46:$AW$55*CI99 + (1-$AW$46:$AW$55)*CE99), N($AK$46:$AK$55&gt;$AI99))
) / 1000</f>
        <v>0</v>
      </c>
      <c r="CK99" s="50">
        <f t="shared" si="77"/>
        <v>20</v>
      </c>
      <c r="CL99" s="46">
        <f t="shared" si="78"/>
        <v>33</v>
      </c>
      <c r="CM99" s="49">
        <f t="shared" si="79"/>
        <v>4.8487499999999999</v>
      </c>
      <c r="CN99" s="49" cm="1">
        <f t="array" ref="CN99">$BC99 * IF($AD99&lt;=2,
SUMPRODUCT(INDEX($AL$51:$AN$55,,$AE99), INDEX($AO$51:$AU$55,,$AD99), 1 / ($AV$51:$AV$55*CM99 + (1-$AV$51:$AV$55)*CI99), N($AK$51:$AK$55&gt;$AI99)),
SUMPRODUCT(INDEX($AL$36:$AN$45,,$AE99), INDEX($AO$36:$AU$45,,$AD99), 1 / ($AW$36:$AW$45*CM99 + (1-$AW$36:$AW$45)*CI99), N($AK$36:$AK$45&gt;$AI99))
) / 1000</f>
        <v>0</v>
      </c>
      <c r="CO99" s="49" cm="1">
        <f t="array" ref="CO99">$BC99 * IF($AD99&lt;=2,
SUMPRODUCT(INDEX($AL$12:$AN$50,,$AE99), INDEX($AO$12:$AU$50,,$AD99), 1 / ($AV$12:$AV$50*CM99), N($AK$12:$AK$50&gt;$AI99)),
SUMPRODUCT(INDEX($AL$12:$AN$35,,$AE99), INDEX($AO$12:$AU$35,,$AD99), 1 / ($AW$12:$AW$35*CM99), N($AK$12:$AK$35&gt;$AI99))
) / 1000</f>
        <v>0</v>
      </c>
      <c r="CP99" s="46">
        <f t="shared" si="80"/>
        <v>0</v>
      </c>
      <c r="CQ99" s="20"/>
    </row>
    <row r="100" spans="1:95" s="95" customFormat="1" ht="14.25" customHeight="1" x14ac:dyDescent="0.2">
      <c r="A100" s="36" t="b">
        <f t="shared" si="44"/>
        <v>0</v>
      </c>
      <c r="B100" s="94">
        <v>89</v>
      </c>
      <c r="C100" s="7"/>
      <c r="D100" s="7"/>
      <c r="E100" s="33"/>
      <c r="F100" s="8" t="str">
        <f>IF(ISBLANK(E100), "", VLOOKUP(E100, Z!$A$2:$C$4127, 3, FALSE))</f>
        <v/>
      </c>
      <c r="G100" s="44"/>
      <c r="H100" s="44"/>
      <c r="I100" s="107"/>
      <c r="J100" s="108"/>
      <c r="K100" s="34"/>
      <c r="L100" s="59"/>
      <c r="M100" s="58" t="str" cm="1">
        <f t="array" ref="M100">IF($K100&gt;0, INDEX(Clean,1+AG100,$B$1), "")</f>
        <v/>
      </c>
      <c r="N100" s="62"/>
      <c r="O100" s="62"/>
      <c r="P100" s="63"/>
      <c r="Q100" s="52">
        <f t="shared" si="50"/>
        <v>0</v>
      </c>
      <c r="R100" s="58" t="str" cm="1">
        <f t="array" ref="R100">IF($K100&gt;0, INDEX(Clean,1+AH100,$B$1), "")</f>
        <v/>
      </c>
      <c r="S100" s="62"/>
      <c r="T100" s="62"/>
      <c r="U100" s="63"/>
      <c r="V100" s="52">
        <f t="shared" si="51"/>
        <v>0</v>
      </c>
      <c r="W100" s="6"/>
      <c r="X100" s="7"/>
      <c r="Y100" s="33"/>
      <c r="Z100" s="8" t="str">
        <f>IF(ISBLANK(Y100), "", VLOOKUP(Y100, Z!$A$2:$C$4127, 3, FALSE))</f>
        <v/>
      </c>
      <c r="AA100" s="38"/>
      <c r="AB100" s="9">
        <f t="shared" si="45"/>
        <v>0</v>
      </c>
      <c r="AC100" s="20"/>
      <c r="AD100" s="41">
        <f t="shared" si="46"/>
        <v>1</v>
      </c>
      <c r="AE100" s="41">
        <f t="shared" si="47"/>
        <v>1</v>
      </c>
      <c r="AF100" s="41">
        <f t="shared" si="48"/>
        <v>0</v>
      </c>
      <c r="AG100" s="41">
        <v>1</v>
      </c>
      <c r="AH100" s="41">
        <v>0</v>
      </c>
      <c r="AI100" s="41">
        <f t="shared" si="49"/>
        <v>-100</v>
      </c>
      <c r="AJ100" s="20"/>
      <c r="AK100" s="45"/>
      <c r="AL100" s="45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20"/>
      <c r="AY100" s="41" cm="1">
        <f t="array" ref="AY100">INDEX(Use, $AD100, 4)</f>
        <v>7</v>
      </c>
      <c r="AZ100" s="41">
        <f t="shared" si="52"/>
        <v>32</v>
      </c>
      <c r="BA100" s="41">
        <f t="shared" si="53"/>
        <v>13</v>
      </c>
      <c r="BB100" s="41">
        <f t="shared" si="54"/>
        <v>0</v>
      </c>
      <c r="BC100" s="57" cm="1">
        <f t="array" ref="BC100">K100/IF($L100&gt;0, INDEX($AO$12:$AU$66, $L100+20, $AD100), 1)</f>
        <v>0</v>
      </c>
      <c r="BD100" s="46">
        <f t="shared" si="55"/>
        <v>0</v>
      </c>
      <c r="BE100" s="41">
        <v>35</v>
      </c>
      <c r="BF100" s="46">
        <f t="shared" si="56"/>
        <v>52.55</v>
      </c>
      <c r="BG100" s="49">
        <f t="shared" si="57"/>
        <v>2.7676728869374316</v>
      </c>
      <c r="BH100" s="49" cm="1">
        <f t="array" ref="BH100">$BC100 * SUMPRODUCT(INDEX($AL$66:$AN$71,,$AE100),INDEX($AO$66:$AU$71,,$AD100), N($AK$66:$AK$71&gt;$AI100)) / BG100 / 1000</f>
        <v>0</v>
      </c>
      <c r="BI100" s="50">
        <f t="shared" si="58"/>
        <v>30</v>
      </c>
      <c r="BJ100" s="46">
        <f t="shared" si="59"/>
        <v>46.033333333333331</v>
      </c>
      <c r="BK100" s="49">
        <f t="shared" si="60"/>
        <v>3.2297395388556791</v>
      </c>
      <c r="BL100" s="49" cm="1">
        <f t="array" ref="BL100">$BC100 * IF($AD100&lt;=2,
SUMPRODUCT(INDEX($AL$61:$AN$65,,$AE100), INDEX($AO$61:$AU$65,,$AD100), 1 / ($AV$61:$AV$65*BK100 + (1-$AV$61:$AV$65)*BG100), N($AK$61:$AK$65&gt;$AI100)),
SUMPRODUCT(INDEX($AL$56:$AN$65,,$AE100), INDEX($AO$56:$AU$65,,$AD100), 1 / ($AW$56:$AW$65*BK100 + (1-$AW$56:$AW$65)*BG100), N($AK$56:$AK$65&gt;$AI100))
) / 1000</f>
        <v>0</v>
      </c>
      <c r="BM100" s="50">
        <f t="shared" si="61"/>
        <v>25</v>
      </c>
      <c r="BN100" s="46">
        <f t="shared" si="62"/>
        <v>39.516666666666666</v>
      </c>
      <c r="BO100" s="49">
        <f t="shared" si="63"/>
        <v>3.877011788826243</v>
      </c>
      <c r="BP100" s="49" cm="1">
        <f t="array" ref="BP100">$BC100 * IF($AD100&lt;=2,
SUMPRODUCT(INDEX($AL$56:$AN$60,,$AE100), INDEX($AO$56:$AU$60,,$AD100), 1 / ($AV$56:$AV$60*BO100 + (1-$AV$56:$AV$60)*BK100), N($AK$56:$AK$60&gt;$AI100)),
SUMPRODUCT(INDEX($AL$46:$AN$55,,$AE100), INDEX($AO$46:$AU$55,,$AD100), 1 / ($AW$46:$AW$55*BO100 + (1-$AW$46:$AW$55)*BK100), N($AK$46:$AK$55&gt;$AI100))
) / 1000</f>
        <v>0</v>
      </c>
      <c r="BQ100" s="50">
        <f t="shared" si="64"/>
        <v>20</v>
      </c>
      <c r="BR100" s="46">
        <f t="shared" si="65"/>
        <v>33</v>
      </c>
      <c r="BS100" s="49">
        <f t="shared" si="66"/>
        <v>4.8487499999999999</v>
      </c>
      <c r="BT100" s="49" cm="1">
        <f t="array" ref="BT100">$BC100 * IF($AD100&lt;=2,
SUMPRODUCT(INDEX($AL$51:$AN$55,,$AE100), INDEX($AO$51:$AU$55,,$AD100), 1 / ($AV$51:$AV$55*BS100 + (1-$AV$51:$AV$55)*BO100), N($AK$51:$AK$55&gt;$AI100)),
SUMPRODUCT(INDEX($AL$36:$AN$45,,$AE100), INDEX($AO$36:$AU$45,,$AD100), 1 / ($AW$36:$AW$45*BS100 + (1-$AW$36:$AW$45)*BO100), N($AK$36:$AK$45&gt;$AI100))
) / 1000</f>
        <v>0</v>
      </c>
      <c r="BU100" s="49" cm="1">
        <f t="array" ref="BU100">$BC100 * IF($AD100&lt;=2,
SUMPRODUCT(INDEX($AL$12:$AN$50,,$AE100), INDEX($AO$12:$AU$50,,$AD100), 1 / ($AV$12:$AV$50*BS100), N($AK$12:$AK$50&gt;$AI100)),
SUMPRODUCT(INDEX($AL$12:$AN$35,,$AE100), INDEX($AO$12:$AU$35,,$AD100), 1 / ($AW$12:$AW$35*BS100), N($AK$12:$AK$35&gt;$AI100))
) / 1000</f>
        <v>0</v>
      </c>
      <c r="BV100" s="46">
        <f t="shared" si="67"/>
        <v>0</v>
      </c>
      <c r="BW100" s="20"/>
      <c r="BX100" s="46">
        <f t="shared" si="68"/>
        <v>0</v>
      </c>
      <c r="BY100" s="41">
        <v>35</v>
      </c>
      <c r="BZ100" s="46">
        <f t="shared" si="69"/>
        <v>48</v>
      </c>
      <c r="CA100" s="49">
        <f t="shared" si="70"/>
        <v>3.0748170731707316</v>
      </c>
      <c r="CB100" s="49" cm="1">
        <f t="array" ref="CB100">$BC100 * SUMPRODUCT(INDEX($AL$66:$AN$71,,$AE100),INDEX($AO$66:$AU$71,,$AD100), N($AK$66:$AK$71&gt;$AI100)) / CA100 / 1000</f>
        <v>0</v>
      </c>
      <c r="CC100" s="50">
        <f t="shared" si="71"/>
        <v>30</v>
      </c>
      <c r="CD100" s="46">
        <f t="shared" si="72"/>
        <v>43</v>
      </c>
      <c r="CE100" s="49">
        <f t="shared" si="73"/>
        <v>3.5018750000000001</v>
      </c>
      <c r="CF100" s="49" cm="1">
        <f t="array" ref="CF100">$BC100 * IF($AD100&lt;=2,
SUMPRODUCT(INDEX($AL$61:$AN$65,,$AE100), INDEX($AO$61:$AU$65,,$AD100), 1 / ($AV$61:$AV$65*CE100 + (1-$AV$61:$AV$65)*CA100), N($AK$61:$AK$65&gt;$AI100)),
SUMPRODUCT(INDEX($AL$56:$AN$65,,$AE100), INDEX($AO$56:$AU$65,,$AD100), 1 / ($AW$56:$AW$65*CE100 + (1-$AW$56:$AW$65)*CA100), N($AK$56:$AK$65&gt;$AI100))
) / 1000</f>
        <v>0</v>
      </c>
      <c r="CG100" s="50">
        <f t="shared" si="74"/>
        <v>25</v>
      </c>
      <c r="CH100" s="46">
        <f t="shared" si="75"/>
        <v>38</v>
      </c>
      <c r="CI100" s="49">
        <f t="shared" si="76"/>
        <v>4.0666935483870965</v>
      </c>
      <c r="CJ100" s="49" cm="1">
        <f t="array" ref="CJ100">$BC100 * IF($AD100&lt;=2,
SUMPRODUCT(INDEX($AL$56:$AN$60,,$AE100), INDEX($AO$56:$AU$60,,$AD100), 1 / ($AV$56:$AV$60*CI100 + (1-$AV$56:$AV$60)*CE100), N($AK$56:$AK$60&gt;$AI100)),
SUMPRODUCT(INDEX($AL$46:$AN$55,,$AE100), INDEX($AO$46:$AU$55,,$AD100), 1 / ($AW$46:$AW$55*CI100 + (1-$AW$46:$AW$55)*CE100), N($AK$46:$AK$55&gt;$AI100))
) / 1000</f>
        <v>0</v>
      </c>
      <c r="CK100" s="50">
        <f t="shared" si="77"/>
        <v>20</v>
      </c>
      <c r="CL100" s="46">
        <f t="shared" si="78"/>
        <v>33</v>
      </c>
      <c r="CM100" s="49">
        <f t="shared" si="79"/>
        <v>4.8487499999999999</v>
      </c>
      <c r="CN100" s="49" cm="1">
        <f t="array" ref="CN100">$BC100 * IF($AD100&lt;=2,
SUMPRODUCT(INDEX($AL$51:$AN$55,,$AE100), INDEX($AO$51:$AU$55,,$AD100), 1 / ($AV$51:$AV$55*CM100 + (1-$AV$51:$AV$55)*CI100), N($AK$51:$AK$55&gt;$AI100)),
SUMPRODUCT(INDEX($AL$36:$AN$45,,$AE100), INDEX($AO$36:$AU$45,,$AD100), 1 / ($AW$36:$AW$45*CM100 + (1-$AW$36:$AW$45)*CI100), N($AK$36:$AK$45&gt;$AI100))
) / 1000</f>
        <v>0</v>
      </c>
      <c r="CO100" s="49" cm="1">
        <f t="array" ref="CO100">$BC100 * IF($AD100&lt;=2,
SUMPRODUCT(INDEX($AL$12:$AN$50,,$AE100), INDEX($AO$12:$AU$50,,$AD100), 1 / ($AV$12:$AV$50*CM100), N($AK$12:$AK$50&gt;$AI100)),
SUMPRODUCT(INDEX($AL$12:$AN$35,,$AE100), INDEX($AO$12:$AU$35,,$AD100), 1 / ($AW$12:$AW$35*CM100), N($AK$12:$AK$35&gt;$AI100))
) / 1000</f>
        <v>0</v>
      </c>
      <c r="CP100" s="46">
        <f t="shared" si="80"/>
        <v>0</v>
      </c>
      <c r="CQ100" s="20"/>
    </row>
    <row r="101" spans="1:95" s="95" customFormat="1" ht="14.25" customHeight="1" x14ac:dyDescent="0.2">
      <c r="A101" s="36" t="b">
        <f t="shared" si="44"/>
        <v>0</v>
      </c>
      <c r="B101" s="94">
        <v>90</v>
      </c>
      <c r="C101" s="7"/>
      <c r="D101" s="7"/>
      <c r="E101" s="33"/>
      <c r="F101" s="8" t="str">
        <f>IF(ISBLANK(E101), "", VLOOKUP(E101, Z!$A$2:$C$4127, 3, FALSE))</f>
        <v/>
      </c>
      <c r="G101" s="44"/>
      <c r="H101" s="44"/>
      <c r="I101" s="107"/>
      <c r="J101" s="108"/>
      <c r="K101" s="34"/>
      <c r="L101" s="59"/>
      <c r="M101" s="58" t="str" cm="1">
        <f t="array" ref="M101">IF($K101&gt;0, INDEX(Clean,1+AG101,$B$1), "")</f>
        <v/>
      </c>
      <c r="N101" s="62"/>
      <c r="O101" s="62"/>
      <c r="P101" s="63"/>
      <c r="Q101" s="52">
        <f t="shared" si="50"/>
        <v>0</v>
      </c>
      <c r="R101" s="58" t="str" cm="1">
        <f t="array" ref="R101">IF($K101&gt;0, INDEX(Clean,1+AH101,$B$1), "")</f>
        <v/>
      </c>
      <c r="S101" s="62"/>
      <c r="T101" s="62"/>
      <c r="U101" s="63"/>
      <c r="V101" s="52">
        <f t="shared" si="51"/>
        <v>0</v>
      </c>
      <c r="W101" s="6"/>
      <c r="X101" s="7"/>
      <c r="Y101" s="33"/>
      <c r="Z101" s="8" t="str">
        <f>IF(ISBLANK(Y101), "", VLOOKUP(Y101, Z!$A$2:$C$4127, 3, FALSE))</f>
        <v/>
      </c>
      <c r="AA101" s="38"/>
      <c r="AB101" s="9">
        <f t="shared" si="45"/>
        <v>0</v>
      </c>
      <c r="AC101" s="20"/>
      <c r="AD101" s="41">
        <f t="shared" si="46"/>
        <v>1</v>
      </c>
      <c r="AE101" s="41">
        <f t="shared" si="47"/>
        <v>1</v>
      </c>
      <c r="AF101" s="41">
        <f t="shared" si="48"/>
        <v>0</v>
      </c>
      <c r="AG101" s="41">
        <v>1</v>
      </c>
      <c r="AH101" s="41">
        <v>0</v>
      </c>
      <c r="AI101" s="41">
        <f t="shared" si="49"/>
        <v>-100</v>
      </c>
      <c r="AJ101" s="20"/>
      <c r="AK101" s="45"/>
      <c r="AL101" s="45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20"/>
      <c r="AY101" s="41" cm="1">
        <f t="array" ref="AY101">INDEX(Use, $AD101, 4)</f>
        <v>7</v>
      </c>
      <c r="AZ101" s="41">
        <f t="shared" si="52"/>
        <v>32</v>
      </c>
      <c r="BA101" s="41">
        <f t="shared" si="53"/>
        <v>13</v>
      </c>
      <c r="BB101" s="41">
        <f t="shared" si="54"/>
        <v>0</v>
      </c>
      <c r="BC101" s="57" cm="1">
        <f t="array" ref="BC101">K101/IF($L101&gt;0, INDEX($AO$12:$AU$66, $L101+20, $AD101), 1)</f>
        <v>0</v>
      </c>
      <c r="BD101" s="46">
        <f t="shared" si="55"/>
        <v>0</v>
      </c>
      <c r="BE101" s="41">
        <v>35</v>
      </c>
      <c r="BF101" s="46">
        <f t="shared" si="56"/>
        <v>52.55</v>
      </c>
      <c r="BG101" s="49">
        <f t="shared" si="57"/>
        <v>2.7676728869374316</v>
      </c>
      <c r="BH101" s="49" cm="1">
        <f t="array" ref="BH101">$BC101 * SUMPRODUCT(INDEX($AL$66:$AN$71,,$AE101),INDEX($AO$66:$AU$71,,$AD101), N($AK$66:$AK$71&gt;$AI101)) / BG101 / 1000</f>
        <v>0</v>
      </c>
      <c r="BI101" s="50">
        <f t="shared" si="58"/>
        <v>30</v>
      </c>
      <c r="BJ101" s="46">
        <f t="shared" si="59"/>
        <v>46.033333333333331</v>
      </c>
      <c r="BK101" s="49">
        <f t="shared" si="60"/>
        <v>3.2297395388556791</v>
      </c>
      <c r="BL101" s="49" cm="1">
        <f t="array" ref="BL101">$BC101 * IF($AD101&lt;=2,
SUMPRODUCT(INDEX($AL$61:$AN$65,,$AE101), INDEX($AO$61:$AU$65,,$AD101), 1 / ($AV$61:$AV$65*BK101 + (1-$AV$61:$AV$65)*BG101), N($AK$61:$AK$65&gt;$AI101)),
SUMPRODUCT(INDEX($AL$56:$AN$65,,$AE101), INDEX($AO$56:$AU$65,,$AD101), 1 / ($AW$56:$AW$65*BK101 + (1-$AW$56:$AW$65)*BG101), N($AK$56:$AK$65&gt;$AI101))
) / 1000</f>
        <v>0</v>
      </c>
      <c r="BM101" s="50">
        <f t="shared" si="61"/>
        <v>25</v>
      </c>
      <c r="BN101" s="46">
        <f t="shared" si="62"/>
        <v>39.516666666666666</v>
      </c>
      <c r="BO101" s="49">
        <f t="shared" si="63"/>
        <v>3.877011788826243</v>
      </c>
      <c r="BP101" s="49" cm="1">
        <f t="array" ref="BP101">$BC101 * IF($AD101&lt;=2,
SUMPRODUCT(INDEX($AL$56:$AN$60,,$AE101), INDEX($AO$56:$AU$60,,$AD101), 1 / ($AV$56:$AV$60*BO101 + (1-$AV$56:$AV$60)*BK101), N($AK$56:$AK$60&gt;$AI101)),
SUMPRODUCT(INDEX($AL$46:$AN$55,,$AE101), INDEX($AO$46:$AU$55,,$AD101), 1 / ($AW$46:$AW$55*BO101 + (1-$AW$46:$AW$55)*BK101), N($AK$46:$AK$55&gt;$AI101))
) / 1000</f>
        <v>0</v>
      </c>
      <c r="BQ101" s="50">
        <f t="shared" si="64"/>
        <v>20</v>
      </c>
      <c r="BR101" s="46">
        <f t="shared" si="65"/>
        <v>33</v>
      </c>
      <c r="BS101" s="49">
        <f t="shared" si="66"/>
        <v>4.8487499999999999</v>
      </c>
      <c r="BT101" s="49" cm="1">
        <f t="array" ref="BT101">$BC101 * IF($AD101&lt;=2,
SUMPRODUCT(INDEX($AL$51:$AN$55,,$AE101), INDEX($AO$51:$AU$55,,$AD101), 1 / ($AV$51:$AV$55*BS101 + (1-$AV$51:$AV$55)*BO101), N($AK$51:$AK$55&gt;$AI101)),
SUMPRODUCT(INDEX($AL$36:$AN$45,,$AE101), INDEX($AO$36:$AU$45,,$AD101), 1 / ($AW$36:$AW$45*BS101 + (1-$AW$36:$AW$45)*BO101), N($AK$36:$AK$45&gt;$AI101))
) / 1000</f>
        <v>0</v>
      </c>
      <c r="BU101" s="49" cm="1">
        <f t="array" ref="BU101">$BC101 * IF($AD101&lt;=2,
SUMPRODUCT(INDEX($AL$12:$AN$50,,$AE101), INDEX($AO$12:$AU$50,,$AD101), 1 / ($AV$12:$AV$50*BS101), N($AK$12:$AK$50&gt;$AI101)),
SUMPRODUCT(INDEX($AL$12:$AN$35,,$AE101), INDEX($AO$12:$AU$35,,$AD101), 1 / ($AW$12:$AW$35*BS101), N($AK$12:$AK$35&gt;$AI101))
) / 1000</f>
        <v>0</v>
      </c>
      <c r="BV101" s="46">
        <f t="shared" si="67"/>
        <v>0</v>
      </c>
      <c r="BW101" s="20"/>
      <c r="BX101" s="46">
        <f t="shared" si="68"/>
        <v>0</v>
      </c>
      <c r="BY101" s="41">
        <v>35</v>
      </c>
      <c r="BZ101" s="46">
        <f t="shared" si="69"/>
        <v>48</v>
      </c>
      <c r="CA101" s="49">
        <f t="shared" si="70"/>
        <v>3.0748170731707316</v>
      </c>
      <c r="CB101" s="49" cm="1">
        <f t="array" ref="CB101">$BC101 * SUMPRODUCT(INDEX($AL$66:$AN$71,,$AE101),INDEX($AO$66:$AU$71,,$AD101), N($AK$66:$AK$71&gt;$AI101)) / CA101 / 1000</f>
        <v>0</v>
      </c>
      <c r="CC101" s="50">
        <f t="shared" si="71"/>
        <v>30</v>
      </c>
      <c r="CD101" s="46">
        <f t="shared" si="72"/>
        <v>43</v>
      </c>
      <c r="CE101" s="49">
        <f t="shared" si="73"/>
        <v>3.5018750000000001</v>
      </c>
      <c r="CF101" s="49" cm="1">
        <f t="array" ref="CF101">$BC101 * IF($AD101&lt;=2,
SUMPRODUCT(INDEX($AL$61:$AN$65,,$AE101), INDEX($AO$61:$AU$65,,$AD101), 1 / ($AV$61:$AV$65*CE101 + (1-$AV$61:$AV$65)*CA101), N($AK$61:$AK$65&gt;$AI101)),
SUMPRODUCT(INDEX($AL$56:$AN$65,,$AE101), INDEX($AO$56:$AU$65,,$AD101), 1 / ($AW$56:$AW$65*CE101 + (1-$AW$56:$AW$65)*CA101), N($AK$56:$AK$65&gt;$AI101))
) / 1000</f>
        <v>0</v>
      </c>
      <c r="CG101" s="50">
        <f t="shared" si="74"/>
        <v>25</v>
      </c>
      <c r="CH101" s="46">
        <f t="shared" si="75"/>
        <v>38</v>
      </c>
      <c r="CI101" s="49">
        <f t="shared" si="76"/>
        <v>4.0666935483870965</v>
      </c>
      <c r="CJ101" s="49" cm="1">
        <f t="array" ref="CJ101">$BC101 * IF($AD101&lt;=2,
SUMPRODUCT(INDEX($AL$56:$AN$60,,$AE101), INDEX($AO$56:$AU$60,,$AD101), 1 / ($AV$56:$AV$60*CI101 + (1-$AV$56:$AV$60)*CE101), N($AK$56:$AK$60&gt;$AI101)),
SUMPRODUCT(INDEX($AL$46:$AN$55,,$AE101), INDEX($AO$46:$AU$55,,$AD101), 1 / ($AW$46:$AW$55*CI101 + (1-$AW$46:$AW$55)*CE101), N($AK$46:$AK$55&gt;$AI101))
) / 1000</f>
        <v>0</v>
      </c>
      <c r="CK101" s="50">
        <f t="shared" si="77"/>
        <v>20</v>
      </c>
      <c r="CL101" s="46">
        <f t="shared" si="78"/>
        <v>33</v>
      </c>
      <c r="CM101" s="49">
        <f t="shared" si="79"/>
        <v>4.8487499999999999</v>
      </c>
      <c r="CN101" s="49" cm="1">
        <f t="array" ref="CN101">$BC101 * IF($AD101&lt;=2,
SUMPRODUCT(INDEX($AL$51:$AN$55,,$AE101), INDEX($AO$51:$AU$55,,$AD101), 1 / ($AV$51:$AV$55*CM101 + (1-$AV$51:$AV$55)*CI101), N($AK$51:$AK$55&gt;$AI101)),
SUMPRODUCT(INDEX($AL$36:$AN$45,,$AE101), INDEX($AO$36:$AU$45,,$AD101), 1 / ($AW$36:$AW$45*CM101 + (1-$AW$36:$AW$45)*CI101), N($AK$36:$AK$45&gt;$AI101))
) / 1000</f>
        <v>0</v>
      </c>
      <c r="CO101" s="49" cm="1">
        <f t="array" ref="CO101">$BC101 * IF($AD101&lt;=2,
SUMPRODUCT(INDEX($AL$12:$AN$50,,$AE101), INDEX($AO$12:$AU$50,,$AD101), 1 / ($AV$12:$AV$50*CM101), N($AK$12:$AK$50&gt;$AI101)),
SUMPRODUCT(INDEX($AL$12:$AN$35,,$AE101), INDEX($AO$12:$AU$35,,$AD101), 1 / ($AW$12:$AW$35*CM101), N($AK$12:$AK$35&gt;$AI101))
) / 1000</f>
        <v>0</v>
      </c>
      <c r="CP101" s="46">
        <f t="shared" si="80"/>
        <v>0</v>
      </c>
      <c r="CQ101" s="20"/>
    </row>
    <row r="102" spans="1:95" s="95" customFormat="1" ht="14.25" customHeight="1" x14ac:dyDescent="0.2">
      <c r="A102" s="36" t="b">
        <f t="shared" si="44"/>
        <v>0</v>
      </c>
      <c r="B102" s="94">
        <v>91</v>
      </c>
      <c r="C102" s="7"/>
      <c r="D102" s="7"/>
      <c r="E102" s="33"/>
      <c r="F102" s="8" t="str">
        <f>IF(ISBLANK(E102), "", VLOOKUP(E102, Z!$A$2:$C$4127, 3, FALSE))</f>
        <v/>
      </c>
      <c r="G102" s="44"/>
      <c r="H102" s="44"/>
      <c r="I102" s="107"/>
      <c r="J102" s="108"/>
      <c r="K102" s="34"/>
      <c r="L102" s="59"/>
      <c r="M102" s="58" t="str" cm="1">
        <f t="array" ref="M102">IF($K102&gt;0, INDEX(Clean,1+AG102,$B$1), "")</f>
        <v/>
      </c>
      <c r="N102" s="62"/>
      <c r="O102" s="62"/>
      <c r="P102" s="63"/>
      <c r="Q102" s="52">
        <f t="shared" si="50"/>
        <v>0</v>
      </c>
      <c r="R102" s="58" t="str" cm="1">
        <f t="array" ref="R102">IF($K102&gt;0, INDEX(Clean,1+AH102,$B$1), "")</f>
        <v/>
      </c>
      <c r="S102" s="62"/>
      <c r="T102" s="62"/>
      <c r="U102" s="63"/>
      <c r="V102" s="52">
        <f t="shared" si="51"/>
        <v>0</v>
      </c>
      <c r="W102" s="6"/>
      <c r="X102" s="7"/>
      <c r="Y102" s="33"/>
      <c r="Z102" s="8" t="str">
        <f>IF(ISBLANK(Y102), "", VLOOKUP(Y102, Z!$A$2:$C$4127, 3, FALSE))</f>
        <v/>
      </c>
      <c r="AA102" s="38"/>
      <c r="AB102" s="9">
        <f t="shared" si="45"/>
        <v>0</v>
      </c>
      <c r="AC102" s="20"/>
      <c r="AD102" s="41">
        <f t="shared" si="46"/>
        <v>1</v>
      </c>
      <c r="AE102" s="41">
        <f t="shared" si="47"/>
        <v>1</v>
      </c>
      <c r="AF102" s="41">
        <f t="shared" si="48"/>
        <v>0</v>
      </c>
      <c r="AG102" s="41">
        <v>1</v>
      </c>
      <c r="AH102" s="41">
        <v>0</v>
      </c>
      <c r="AI102" s="41">
        <f t="shared" si="49"/>
        <v>-100</v>
      </c>
      <c r="AJ102" s="20"/>
      <c r="AK102" s="45"/>
      <c r="AL102" s="45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20"/>
      <c r="AY102" s="41" cm="1">
        <f t="array" ref="AY102">INDEX(Use, $AD102, 4)</f>
        <v>7</v>
      </c>
      <c r="AZ102" s="41">
        <f t="shared" si="52"/>
        <v>32</v>
      </c>
      <c r="BA102" s="41">
        <f t="shared" si="53"/>
        <v>13</v>
      </c>
      <c r="BB102" s="41">
        <f t="shared" si="54"/>
        <v>0</v>
      </c>
      <c r="BC102" s="57" cm="1">
        <f t="array" ref="BC102">K102/IF($L102&gt;0, INDEX($AO$12:$AU$66, $L102+20, $AD102), 1)</f>
        <v>0</v>
      </c>
      <c r="BD102" s="46">
        <f t="shared" si="55"/>
        <v>0</v>
      </c>
      <c r="BE102" s="41">
        <v>35</v>
      </c>
      <c r="BF102" s="46">
        <f t="shared" si="56"/>
        <v>52.55</v>
      </c>
      <c r="BG102" s="49">
        <f t="shared" si="57"/>
        <v>2.7676728869374316</v>
      </c>
      <c r="BH102" s="49" cm="1">
        <f t="array" ref="BH102">$BC102 * SUMPRODUCT(INDEX($AL$66:$AN$71,,$AE102),INDEX($AO$66:$AU$71,,$AD102), N($AK$66:$AK$71&gt;$AI102)) / BG102 / 1000</f>
        <v>0</v>
      </c>
      <c r="BI102" s="50">
        <f t="shared" si="58"/>
        <v>30</v>
      </c>
      <c r="BJ102" s="46">
        <f t="shared" si="59"/>
        <v>46.033333333333331</v>
      </c>
      <c r="BK102" s="49">
        <f t="shared" si="60"/>
        <v>3.2297395388556791</v>
      </c>
      <c r="BL102" s="49" cm="1">
        <f t="array" ref="BL102">$BC102 * IF($AD102&lt;=2,
SUMPRODUCT(INDEX($AL$61:$AN$65,,$AE102), INDEX($AO$61:$AU$65,,$AD102), 1 / ($AV$61:$AV$65*BK102 + (1-$AV$61:$AV$65)*BG102), N($AK$61:$AK$65&gt;$AI102)),
SUMPRODUCT(INDEX($AL$56:$AN$65,,$AE102), INDEX($AO$56:$AU$65,,$AD102), 1 / ($AW$56:$AW$65*BK102 + (1-$AW$56:$AW$65)*BG102), N($AK$56:$AK$65&gt;$AI102))
) / 1000</f>
        <v>0</v>
      </c>
      <c r="BM102" s="50">
        <f t="shared" si="61"/>
        <v>25</v>
      </c>
      <c r="BN102" s="46">
        <f t="shared" si="62"/>
        <v>39.516666666666666</v>
      </c>
      <c r="BO102" s="49">
        <f t="shared" si="63"/>
        <v>3.877011788826243</v>
      </c>
      <c r="BP102" s="49" cm="1">
        <f t="array" ref="BP102">$BC102 * IF($AD102&lt;=2,
SUMPRODUCT(INDEX($AL$56:$AN$60,,$AE102), INDEX($AO$56:$AU$60,,$AD102), 1 / ($AV$56:$AV$60*BO102 + (1-$AV$56:$AV$60)*BK102), N($AK$56:$AK$60&gt;$AI102)),
SUMPRODUCT(INDEX($AL$46:$AN$55,,$AE102), INDEX($AO$46:$AU$55,,$AD102), 1 / ($AW$46:$AW$55*BO102 + (1-$AW$46:$AW$55)*BK102), N($AK$46:$AK$55&gt;$AI102))
) / 1000</f>
        <v>0</v>
      </c>
      <c r="BQ102" s="50">
        <f t="shared" si="64"/>
        <v>20</v>
      </c>
      <c r="BR102" s="46">
        <f t="shared" si="65"/>
        <v>33</v>
      </c>
      <c r="BS102" s="49">
        <f t="shared" si="66"/>
        <v>4.8487499999999999</v>
      </c>
      <c r="BT102" s="49" cm="1">
        <f t="array" ref="BT102">$BC102 * IF($AD102&lt;=2,
SUMPRODUCT(INDEX($AL$51:$AN$55,,$AE102), INDEX($AO$51:$AU$55,,$AD102), 1 / ($AV$51:$AV$55*BS102 + (1-$AV$51:$AV$55)*BO102), N($AK$51:$AK$55&gt;$AI102)),
SUMPRODUCT(INDEX($AL$36:$AN$45,,$AE102), INDEX($AO$36:$AU$45,,$AD102), 1 / ($AW$36:$AW$45*BS102 + (1-$AW$36:$AW$45)*BO102), N($AK$36:$AK$45&gt;$AI102))
) / 1000</f>
        <v>0</v>
      </c>
      <c r="BU102" s="49" cm="1">
        <f t="array" ref="BU102">$BC102 * IF($AD102&lt;=2,
SUMPRODUCT(INDEX($AL$12:$AN$50,,$AE102), INDEX($AO$12:$AU$50,,$AD102), 1 / ($AV$12:$AV$50*BS102), N($AK$12:$AK$50&gt;$AI102)),
SUMPRODUCT(INDEX($AL$12:$AN$35,,$AE102), INDEX($AO$12:$AU$35,,$AD102), 1 / ($AW$12:$AW$35*BS102), N($AK$12:$AK$35&gt;$AI102))
) / 1000</f>
        <v>0</v>
      </c>
      <c r="BV102" s="46">
        <f t="shared" si="67"/>
        <v>0</v>
      </c>
      <c r="BW102" s="20"/>
      <c r="BX102" s="46">
        <f t="shared" si="68"/>
        <v>0</v>
      </c>
      <c r="BY102" s="41">
        <v>35</v>
      </c>
      <c r="BZ102" s="46">
        <f t="shared" si="69"/>
        <v>48</v>
      </c>
      <c r="CA102" s="49">
        <f t="shared" si="70"/>
        <v>3.0748170731707316</v>
      </c>
      <c r="CB102" s="49" cm="1">
        <f t="array" ref="CB102">$BC102 * SUMPRODUCT(INDEX($AL$66:$AN$71,,$AE102),INDEX($AO$66:$AU$71,,$AD102), N($AK$66:$AK$71&gt;$AI102)) / CA102 / 1000</f>
        <v>0</v>
      </c>
      <c r="CC102" s="50">
        <f t="shared" si="71"/>
        <v>30</v>
      </c>
      <c r="CD102" s="46">
        <f t="shared" si="72"/>
        <v>43</v>
      </c>
      <c r="CE102" s="49">
        <f t="shared" si="73"/>
        <v>3.5018750000000001</v>
      </c>
      <c r="CF102" s="49" cm="1">
        <f t="array" ref="CF102">$BC102 * IF($AD102&lt;=2,
SUMPRODUCT(INDEX($AL$61:$AN$65,,$AE102), INDEX($AO$61:$AU$65,,$AD102), 1 / ($AV$61:$AV$65*CE102 + (1-$AV$61:$AV$65)*CA102), N($AK$61:$AK$65&gt;$AI102)),
SUMPRODUCT(INDEX($AL$56:$AN$65,,$AE102), INDEX($AO$56:$AU$65,,$AD102), 1 / ($AW$56:$AW$65*CE102 + (1-$AW$56:$AW$65)*CA102), N($AK$56:$AK$65&gt;$AI102))
) / 1000</f>
        <v>0</v>
      </c>
      <c r="CG102" s="50">
        <f t="shared" si="74"/>
        <v>25</v>
      </c>
      <c r="CH102" s="46">
        <f t="shared" si="75"/>
        <v>38</v>
      </c>
      <c r="CI102" s="49">
        <f t="shared" si="76"/>
        <v>4.0666935483870965</v>
      </c>
      <c r="CJ102" s="49" cm="1">
        <f t="array" ref="CJ102">$BC102 * IF($AD102&lt;=2,
SUMPRODUCT(INDEX($AL$56:$AN$60,,$AE102), INDEX($AO$56:$AU$60,,$AD102), 1 / ($AV$56:$AV$60*CI102 + (1-$AV$56:$AV$60)*CE102), N($AK$56:$AK$60&gt;$AI102)),
SUMPRODUCT(INDEX($AL$46:$AN$55,,$AE102), INDEX($AO$46:$AU$55,,$AD102), 1 / ($AW$46:$AW$55*CI102 + (1-$AW$46:$AW$55)*CE102), N($AK$46:$AK$55&gt;$AI102))
) / 1000</f>
        <v>0</v>
      </c>
      <c r="CK102" s="50">
        <f t="shared" si="77"/>
        <v>20</v>
      </c>
      <c r="CL102" s="46">
        <f t="shared" si="78"/>
        <v>33</v>
      </c>
      <c r="CM102" s="49">
        <f t="shared" si="79"/>
        <v>4.8487499999999999</v>
      </c>
      <c r="CN102" s="49" cm="1">
        <f t="array" ref="CN102">$BC102 * IF($AD102&lt;=2,
SUMPRODUCT(INDEX($AL$51:$AN$55,,$AE102), INDEX($AO$51:$AU$55,,$AD102), 1 / ($AV$51:$AV$55*CM102 + (1-$AV$51:$AV$55)*CI102), N($AK$51:$AK$55&gt;$AI102)),
SUMPRODUCT(INDEX($AL$36:$AN$45,,$AE102), INDEX($AO$36:$AU$45,,$AD102), 1 / ($AW$36:$AW$45*CM102 + (1-$AW$36:$AW$45)*CI102), N($AK$36:$AK$45&gt;$AI102))
) / 1000</f>
        <v>0</v>
      </c>
      <c r="CO102" s="49" cm="1">
        <f t="array" ref="CO102">$BC102 * IF($AD102&lt;=2,
SUMPRODUCT(INDEX($AL$12:$AN$50,,$AE102), INDEX($AO$12:$AU$50,,$AD102), 1 / ($AV$12:$AV$50*CM102), N($AK$12:$AK$50&gt;$AI102)),
SUMPRODUCT(INDEX($AL$12:$AN$35,,$AE102), INDEX($AO$12:$AU$35,,$AD102), 1 / ($AW$12:$AW$35*CM102), N($AK$12:$AK$35&gt;$AI102))
) / 1000</f>
        <v>0</v>
      </c>
      <c r="CP102" s="46">
        <f t="shared" si="80"/>
        <v>0</v>
      </c>
      <c r="CQ102" s="20"/>
    </row>
    <row r="103" spans="1:95" s="95" customFormat="1" ht="14.25" customHeight="1" x14ac:dyDescent="0.2">
      <c r="A103" s="36" t="b">
        <f t="shared" si="44"/>
        <v>0</v>
      </c>
      <c r="B103" s="94">
        <v>92</v>
      </c>
      <c r="C103" s="7"/>
      <c r="D103" s="7"/>
      <c r="E103" s="33"/>
      <c r="F103" s="8" t="str">
        <f>IF(ISBLANK(E103), "", VLOOKUP(E103, Z!$A$2:$C$4127, 3, FALSE))</f>
        <v/>
      </c>
      <c r="G103" s="44"/>
      <c r="H103" s="44"/>
      <c r="I103" s="107"/>
      <c r="J103" s="108"/>
      <c r="K103" s="34"/>
      <c r="L103" s="59"/>
      <c r="M103" s="58" t="str" cm="1">
        <f t="array" ref="M103">IF($K103&gt;0, INDEX(Clean,1+AG103,$B$1), "")</f>
        <v/>
      </c>
      <c r="N103" s="62"/>
      <c r="O103" s="62"/>
      <c r="P103" s="63"/>
      <c r="Q103" s="52">
        <f t="shared" si="50"/>
        <v>0</v>
      </c>
      <c r="R103" s="58" t="str" cm="1">
        <f t="array" ref="R103">IF($K103&gt;0, INDEX(Clean,1+AH103,$B$1), "")</f>
        <v/>
      </c>
      <c r="S103" s="62"/>
      <c r="T103" s="62"/>
      <c r="U103" s="63"/>
      <c r="V103" s="52">
        <f t="shared" si="51"/>
        <v>0</v>
      </c>
      <c r="W103" s="6"/>
      <c r="X103" s="7"/>
      <c r="Y103" s="33"/>
      <c r="Z103" s="8" t="str">
        <f>IF(ISBLANK(Y103), "", VLOOKUP(Y103, Z!$A$2:$C$4127, 3, FALSE))</f>
        <v/>
      </c>
      <c r="AA103" s="38"/>
      <c r="AB103" s="9">
        <f t="shared" si="45"/>
        <v>0</v>
      </c>
      <c r="AC103" s="20"/>
      <c r="AD103" s="41">
        <f t="shared" si="46"/>
        <v>1</v>
      </c>
      <c r="AE103" s="41">
        <f t="shared" si="47"/>
        <v>1</v>
      </c>
      <c r="AF103" s="41">
        <f t="shared" si="48"/>
        <v>0</v>
      </c>
      <c r="AG103" s="41">
        <v>1</v>
      </c>
      <c r="AH103" s="41">
        <v>0</v>
      </c>
      <c r="AI103" s="41">
        <f t="shared" si="49"/>
        <v>-100</v>
      </c>
      <c r="AJ103" s="20"/>
      <c r="AK103" s="45"/>
      <c r="AL103" s="45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20"/>
      <c r="AY103" s="41" cm="1">
        <f t="array" ref="AY103">INDEX(Use, $AD103, 4)</f>
        <v>7</v>
      </c>
      <c r="AZ103" s="41">
        <f t="shared" si="52"/>
        <v>32</v>
      </c>
      <c r="BA103" s="41">
        <f t="shared" si="53"/>
        <v>13</v>
      </c>
      <c r="BB103" s="41">
        <f t="shared" si="54"/>
        <v>0</v>
      </c>
      <c r="BC103" s="57" cm="1">
        <f t="array" ref="BC103">K103/IF($L103&gt;0, INDEX($AO$12:$AU$66, $L103+20, $AD103), 1)</f>
        <v>0</v>
      </c>
      <c r="BD103" s="46">
        <f t="shared" si="55"/>
        <v>0</v>
      </c>
      <c r="BE103" s="41">
        <v>35</v>
      </c>
      <c r="BF103" s="46">
        <f t="shared" si="56"/>
        <v>52.55</v>
      </c>
      <c r="BG103" s="49">
        <f t="shared" si="57"/>
        <v>2.7676728869374316</v>
      </c>
      <c r="BH103" s="49" cm="1">
        <f t="array" ref="BH103">$BC103 * SUMPRODUCT(INDEX($AL$66:$AN$71,,$AE103),INDEX($AO$66:$AU$71,,$AD103), N($AK$66:$AK$71&gt;$AI103)) / BG103 / 1000</f>
        <v>0</v>
      </c>
      <c r="BI103" s="50">
        <f t="shared" si="58"/>
        <v>30</v>
      </c>
      <c r="BJ103" s="46">
        <f t="shared" si="59"/>
        <v>46.033333333333331</v>
      </c>
      <c r="BK103" s="49">
        <f t="shared" si="60"/>
        <v>3.2297395388556791</v>
      </c>
      <c r="BL103" s="49" cm="1">
        <f t="array" ref="BL103">$BC103 * IF($AD103&lt;=2,
SUMPRODUCT(INDEX($AL$61:$AN$65,,$AE103), INDEX($AO$61:$AU$65,,$AD103), 1 / ($AV$61:$AV$65*BK103 + (1-$AV$61:$AV$65)*BG103), N($AK$61:$AK$65&gt;$AI103)),
SUMPRODUCT(INDEX($AL$56:$AN$65,,$AE103), INDEX($AO$56:$AU$65,,$AD103), 1 / ($AW$56:$AW$65*BK103 + (1-$AW$56:$AW$65)*BG103), N($AK$56:$AK$65&gt;$AI103))
) / 1000</f>
        <v>0</v>
      </c>
      <c r="BM103" s="50">
        <f t="shared" si="61"/>
        <v>25</v>
      </c>
      <c r="BN103" s="46">
        <f t="shared" si="62"/>
        <v>39.516666666666666</v>
      </c>
      <c r="BO103" s="49">
        <f t="shared" si="63"/>
        <v>3.877011788826243</v>
      </c>
      <c r="BP103" s="49" cm="1">
        <f t="array" ref="BP103">$BC103 * IF($AD103&lt;=2,
SUMPRODUCT(INDEX($AL$56:$AN$60,,$AE103), INDEX($AO$56:$AU$60,,$AD103), 1 / ($AV$56:$AV$60*BO103 + (1-$AV$56:$AV$60)*BK103), N($AK$56:$AK$60&gt;$AI103)),
SUMPRODUCT(INDEX($AL$46:$AN$55,,$AE103), INDEX($AO$46:$AU$55,,$AD103), 1 / ($AW$46:$AW$55*BO103 + (1-$AW$46:$AW$55)*BK103), N($AK$46:$AK$55&gt;$AI103))
) / 1000</f>
        <v>0</v>
      </c>
      <c r="BQ103" s="50">
        <f t="shared" si="64"/>
        <v>20</v>
      </c>
      <c r="BR103" s="46">
        <f t="shared" si="65"/>
        <v>33</v>
      </c>
      <c r="BS103" s="49">
        <f t="shared" si="66"/>
        <v>4.8487499999999999</v>
      </c>
      <c r="BT103" s="49" cm="1">
        <f t="array" ref="BT103">$BC103 * IF($AD103&lt;=2,
SUMPRODUCT(INDEX($AL$51:$AN$55,,$AE103), INDEX($AO$51:$AU$55,,$AD103), 1 / ($AV$51:$AV$55*BS103 + (1-$AV$51:$AV$55)*BO103), N($AK$51:$AK$55&gt;$AI103)),
SUMPRODUCT(INDEX($AL$36:$AN$45,,$AE103), INDEX($AO$36:$AU$45,,$AD103), 1 / ($AW$36:$AW$45*BS103 + (1-$AW$36:$AW$45)*BO103), N($AK$36:$AK$45&gt;$AI103))
) / 1000</f>
        <v>0</v>
      </c>
      <c r="BU103" s="49" cm="1">
        <f t="array" ref="BU103">$BC103 * IF($AD103&lt;=2,
SUMPRODUCT(INDEX($AL$12:$AN$50,,$AE103), INDEX($AO$12:$AU$50,,$AD103), 1 / ($AV$12:$AV$50*BS103), N($AK$12:$AK$50&gt;$AI103)),
SUMPRODUCT(INDEX($AL$12:$AN$35,,$AE103), INDEX($AO$12:$AU$35,,$AD103), 1 / ($AW$12:$AW$35*BS103), N($AK$12:$AK$35&gt;$AI103))
) / 1000</f>
        <v>0</v>
      </c>
      <c r="BV103" s="46">
        <f t="shared" si="67"/>
        <v>0</v>
      </c>
      <c r="BW103" s="20"/>
      <c r="BX103" s="46">
        <f t="shared" si="68"/>
        <v>0</v>
      </c>
      <c r="BY103" s="41">
        <v>35</v>
      </c>
      <c r="BZ103" s="46">
        <f t="shared" si="69"/>
        <v>48</v>
      </c>
      <c r="CA103" s="49">
        <f t="shared" si="70"/>
        <v>3.0748170731707316</v>
      </c>
      <c r="CB103" s="49" cm="1">
        <f t="array" ref="CB103">$BC103 * SUMPRODUCT(INDEX($AL$66:$AN$71,,$AE103),INDEX($AO$66:$AU$71,,$AD103), N($AK$66:$AK$71&gt;$AI103)) / CA103 / 1000</f>
        <v>0</v>
      </c>
      <c r="CC103" s="50">
        <f t="shared" si="71"/>
        <v>30</v>
      </c>
      <c r="CD103" s="46">
        <f t="shared" si="72"/>
        <v>43</v>
      </c>
      <c r="CE103" s="49">
        <f t="shared" si="73"/>
        <v>3.5018750000000001</v>
      </c>
      <c r="CF103" s="49" cm="1">
        <f t="array" ref="CF103">$BC103 * IF($AD103&lt;=2,
SUMPRODUCT(INDEX($AL$61:$AN$65,,$AE103), INDEX($AO$61:$AU$65,,$AD103), 1 / ($AV$61:$AV$65*CE103 + (1-$AV$61:$AV$65)*CA103), N($AK$61:$AK$65&gt;$AI103)),
SUMPRODUCT(INDEX($AL$56:$AN$65,,$AE103), INDEX($AO$56:$AU$65,,$AD103), 1 / ($AW$56:$AW$65*CE103 + (1-$AW$56:$AW$65)*CA103), N($AK$56:$AK$65&gt;$AI103))
) / 1000</f>
        <v>0</v>
      </c>
      <c r="CG103" s="50">
        <f t="shared" si="74"/>
        <v>25</v>
      </c>
      <c r="CH103" s="46">
        <f t="shared" si="75"/>
        <v>38</v>
      </c>
      <c r="CI103" s="49">
        <f t="shared" si="76"/>
        <v>4.0666935483870965</v>
      </c>
      <c r="CJ103" s="49" cm="1">
        <f t="array" ref="CJ103">$BC103 * IF($AD103&lt;=2,
SUMPRODUCT(INDEX($AL$56:$AN$60,,$AE103), INDEX($AO$56:$AU$60,,$AD103), 1 / ($AV$56:$AV$60*CI103 + (1-$AV$56:$AV$60)*CE103), N($AK$56:$AK$60&gt;$AI103)),
SUMPRODUCT(INDEX($AL$46:$AN$55,,$AE103), INDEX($AO$46:$AU$55,,$AD103), 1 / ($AW$46:$AW$55*CI103 + (1-$AW$46:$AW$55)*CE103), N($AK$46:$AK$55&gt;$AI103))
) / 1000</f>
        <v>0</v>
      </c>
      <c r="CK103" s="50">
        <f t="shared" si="77"/>
        <v>20</v>
      </c>
      <c r="CL103" s="46">
        <f t="shared" si="78"/>
        <v>33</v>
      </c>
      <c r="CM103" s="49">
        <f t="shared" si="79"/>
        <v>4.8487499999999999</v>
      </c>
      <c r="CN103" s="49" cm="1">
        <f t="array" ref="CN103">$BC103 * IF($AD103&lt;=2,
SUMPRODUCT(INDEX($AL$51:$AN$55,,$AE103), INDEX($AO$51:$AU$55,,$AD103), 1 / ($AV$51:$AV$55*CM103 + (1-$AV$51:$AV$55)*CI103), N($AK$51:$AK$55&gt;$AI103)),
SUMPRODUCT(INDEX($AL$36:$AN$45,,$AE103), INDEX($AO$36:$AU$45,,$AD103), 1 / ($AW$36:$AW$45*CM103 + (1-$AW$36:$AW$45)*CI103), N($AK$36:$AK$45&gt;$AI103))
) / 1000</f>
        <v>0</v>
      </c>
      <c r="CO103" s="49" cm="1">
        <f t="array" ref="CO103">$BC103 * IF($AD103&lt;=2,
SUMPRODUCT(INDEX($AL$12:$AN$50,,$AE103), INDEX($AO$12:$AU$50,,$AD103), 1 / ($AV$12:$AV$50*CM103), N($AK$12:$AK$50&gt;$AI103)),
SUMPRODUCT(INDEX($AL$12:$AN$35,,$AE103), INDEX($AO$12:$AU$35,,$AD103), 1 / ($AW$12:$AW$35*CM103), N($AK$12:$AK$35&gt;$AI103))
) / 1000</f>
        <v>0</v>
      </c>
      <c r="CP103" s="46">
        <f t="shared" si="80"/>
        <v>0</v>
      </c>
      <c r="CQ103" s="20"/>
    </row>
    <row r="104" spans="1:95" s="95" customFormat="1" ht="14.25" customHeight="1" x14ac:dyDescent="0.2">
      <c r="A104" s="36" t="b">
        <f t="shared" si="44"/>
        <v>0</v>
      </c>
      <c r="B104" s="94">
        <v>93</v>
      </c>
      <c r="C104" s="7"/>
      <c r="D104" s="7"/>
      <c r="E104" s="33"/>
      <c r="F104" s="8" t="str">
        <f>IF(ISBLANK(E104), "", VLOOKUP(E104, Z!$A$2:$C$4127, 3, FALSE))</f>
        <v/>
      </c>
      <c r="G104" s="44"/>
      <c r="H104" s="44"/>
      <c r="I104" s="107"/>
      <c r="J104" s="108"/>
      <c r="K104" s="34"/>
      <c r="L104" s="59"/>
      <c r="M104" s="58" t="str" cm="1">
        <f t="array" ref="M104">IF($K104&gt;0, INDEX(Clean,1+AG104,$B$1), "")</f>
        <v/>
      </c>
      <c r="N104" s="62"/>
      <c r="O104" s="62"/>
      <c r="P104" s="63"/>
      <c r="Q104" s="52">
        <f t="shared" si="50"/>
        <v>0</v>
      </c>
      <c r="R104" s="58" t="str" cm="1">
        <f t="array" ref="R104">IF($K104&gt;0, INDEX(Clean,1+AH104,$B$1), "")</f>
        <v/>
      </c>
      <c r="S104" s="62"/>
      <c r="T104" s="62"/>
      <c r="U104" s="63"/>
      <c r="V104" s="52">
        <f t="shared" si="51"/>
        <v>0</v>
      </c>
      <c r="W104" s="6"/>
      <c r="X104" s="7"/>
      <c r="Y104" s="33"/>
      <c r="Z104" s="8" t="str">
        <f>IF(ISBLANK(Y104), "", VLOOKUP(Y104, Z!$A$2:$C$4127, 3, FALSE))</f>
        <v/>
      </c>
      <c r="AA104" s="38"/>
      <c r="AB104" s="9">
        <f t="shared" si="45"/>
        <v>0</v>
      </c>
      <c r="AC104" s="20"/>
      <c r="AD104" s="41">
        <f t="shared" si="46"/>
        <v>1</v>
      </c>
      <c r="AE104" s="41">
        <f t="shared" si="47"/>
        <v>1</v>
      </c>
      <c r="AF104" s="41">
        <f t="shared" si="48"/>
        <v>0</v>
      </c>
      <c r="AG104" s="41">
        <v>1</v>
      </c>
      <c r="AH104" s="41">
        <v>0</v>
      </c>
      <c r="AI104" s="41">
        <f t="shared" si="49"/>
        <v>-100</v>
      </c>
      <c r="AJ104" s="20"/>
      <c r="AK104" s="45"/>
      <c r="AL104" s="45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20"/>
      <c r="AY104" s="41" cm="1">
        <f t="array" ref="AY104">INDEX(Use, $AD104, 4)</f>
        <v>7</v>
      </c>
      <c r="AZ104" s="41">
        <f t="shared" si="52"/>
        <v>32</v>
      </c>
      <c r="BA104" s="41">
        <f t="shared" si="53"/>
        <v>13</v>
      </c>
      <c r="BB104" s="41">
        <f t="shared" si="54"/>
        <v>0</v>
      </c>
      <c r="BC104" s="57" cm="1">
        <f t="array" ref="BC104">K104/IF($L104&gt;0, INDEX($AO$12:$AU$66, $L104+20, $AD104), 1)</f>
        <v>0</v>
      </c>
      <c r="BD104" s="46">
        <f t="shared" si="55"/>
        <v>0</v>
      </c>
      <c r="BE104" s="41">
        <v>35</v>
      </c>
      <c r="BF104" s="46">
        <f t="shared" si="56"/>
        <v>52.55</v>
      </c>
      <c r="BG104" s="49">
        <f t="shared" si="57"/>
        <v>2.7676728869374316</v>
      </c>
      <c r="BH104" s="49" cm="1">
        <f t="array" ref="BH104">$BC104 * SUMPRODUCT(INDEX($AL$66:$AN$71,,$AE104),INDEX($AO$66:$AU$71,,$AD104), N($AK$66:$AK$71&gt;$AI104)) / BG104 / 1000</f>
        <v>0</v>
      </c>
      <c r="BI104" s="50">
        <f t="shared" si="58"/>
        <v>30</v>
      </c>
      <c r="BJ104" s="46">
        <f t="shared" si="59"/>
        <v>46.033333333333331</v>
      </c>
      <c r="BK104" s="49">
        <f t="shared" si="60"/>
        <v>3.2297395388556791</v>
      </c>
      <c r="BL104" s="49" cm="1">
        <f t="array" ref="BL104">$BC104 * IF($AD104&lt;=2,
SUMPRODUCT(INDEX($AL$61:$AN$65,,$AE104), INDEX($AO$61:$AU$65,,$AD104), 1 / ($AV$61:$AV$65*BK104 + (1-$AV$61:$AV$65)*BG104), N($AK$61:$AK$65&gt;$AI104)),
SUMPRODUCT(INDEX($AL$56:$AN$65,,$AE104), INDEX($AO$56:$AU$65,,$AD104), 1 / ($AW$56:$AW$65*BK104 + (1-$AW$56:$AW$65)*BG104), N($AK$56:$AK$65&gt;$AI104))
) / 1000</f>
        <v>0</v>
      </c>
      <c r="BM104" s="50">
        <f t="shared" si="61"/>
        <v>25</v>
      </c>
      <c r="BN104" s="46">
        <f t="shared" si="62"/>
        <v>39.516666666666666</v>
      </c>
      <c r="BO104" s="49">
        <f t="shared" si="63"/>
        <v>3.877011788826243</v>
      </c>
      <c r="BP104" s="49" cm="1">
        <f t="array" ref="BP104">$BC104 * IF($AD104&lt;=2,
SUMPRODUCT(INDEX($AL$56:$AN$60,,$AE104), INDEX($AO$56:$AU$60,,$AD104), 1 / ($AV$56:$AV$60*BO104 + (1-$AV$56:$AV$60)*BK104), N($AK$56:$AK$60&gt;$AI104)),
SUMPRODUCT(INDEX($AL$46:$AN$55,,$AE104), INDEX($AO$46:$AU$55,,$AD104), 1 / ($AW$46:$AW$55*BO104 + (1-$AW$46:$AW$55)*BK104), N($AK$46:$AK$55&gt;$AI104))
) / 1000</f>
        <v>0</v>
      </c>
      <c r="BQ104" s="50">
        <f t="shared" si="64"/>
        <v>20</v>
      </c>
      <c r="BR104" s="46">
        <f t="shared" si="65"/>
        <v>33</v>
      </c>
      <c r="BS104" s="49">
        <f t="shared" si="66"/>
        <v>4.8487499999999999</v>
      </c>
      <c r="BT104" s="49" cm="1">
        <f t="array" ref="BT104">$BC104 * IF($AD104&lt;=2,
SUMPRODUCT(INDEX($AL$51:$AN$55,,$AE104), INDEX($AO$51:$AU$55,,$AD104), 1 / ($AV$51:$AV$55*BS104 + (1-$AV$51:$AV$55)*BO104), N($AK$51:$AK$55&gt;$AI104)),
SUMPRODUCT(INDEX($AL$36:$AN$45,,$AE104), INDEX($AO$36:$AU$45,,$AD104), 1 / ($AW$36:$AW$45*BS104 + (1-$AW$36:$AW$45)*BO104), N($AK$36:$AK$45&gt;$AI104))
) / 1000</f>
        <v>0</v>
      </c>
      <c r="BU104" s="49" cm="1">
        <f t="array" ref="BU104">$BC104 * IF($AD104&lt;=2,
SUMPRODUCT(INDEX($AL$12:$AN$50,,$AE104), INDEX($AO$12:$AU$50,,$AD104), 1 / ($AV$12:$AV$50*BS104), N($AK$12:$AK$50&gt;$AI104)),
SUMPRODUCT(INDEX($AL$12:$AN$35,,$AE104), INDEX($AO$12:$AU$35,,$AD104), 1 / ($AW$12:$AW$35*BS104), N($AK$12:$AK$35&gt;$AI104))
) / 1000</f>
        <v>0</v>
      </c>
      <c r="BV104" s="46">
        <f t="shared" si="67"/>
        <v>0</v>
      </c>
      <c r="BW104" s="20"/>
      <c r="BX104" s="46">
        <f t="shared" si="68"/>
        <v>0</v>
      </c>
      <c r="BY104" s="41">
        <v>35</v>
      </c>
      <c r="BZ104" s="46">
        <f t="shared" si="69"/>
        <v>48</v>
      </c>
      <c r="CA104" s="49">
        <f t="shared" si="70"/>
        <v>3.0748170731707316</v>
      </c>
      <c r="CB104" s="49" cm="1">
        <f t="array" ref="CB104">$BC104 * SUMPRODUCT(INDEX($AL$66:$AN$71,,$AE104),INDEX($AO$66:$AU$71,,$AD104), N($AK$66:$AK$71&gt;$AI104)) / CA104 / 1000</f>
        <v>0</v>
      </c>
      <c r="CC104" s="50">
        <f t="shared" si="71"/>
        <v>30</v>
      </c>
      <c r="CD104" s="46">
        <f t="shared" si="72"/>
        <v>43</v>
      </c>
      <c r="CE104" s="49">
        <f t="shared" si="73"/>
        <v>3.5018750000000001</v>
      </c>
      <c r="CF104" s="49" cm="1">
        <f t="array" ref="CF104">$BC104 * IF($AD104&lt;=2,
SUMPRODUCT(INDEX($AL$61:$AN$65,,$AE104), INDEX($AO$61:$AU$65,,$AD104), 1 / ($AV$61:$AV$65*CE104 + (1-$AV$61:$AV$65)*CA104), N($AK$61:$AK$65&gt;$AI104)),
SUMPRODUCT(INDEX($AL$56:$AN$65,,$AE104), INDEX($AO$56:$AU$65,,$AD104), 1 / ($AW$56:$AW$65*CE104 + (1-$AW$56:$AW$65)*CA104), N($AK$56:$AK$65&gt;$AI104))
) / 1000</f>
        <v>0</v>
      </c>
      <c r="CG104" s="50">
        <f t="shared" si="74"/>
        <v>25</v>
      </c>
      <c r="CH104" s="46">
        <f t="shared" si="75"/>
        <v>38</v>
      </c>
      <c r="CI104" s="49">
        <f t="shared" si="76"/>
        <v>4.0666935483870965</v>
      </c>
      <c r="CJ104" s="49" cm="1">
        <f t="array" ref="CJ104">$BC104 * IF($AD104&lt;=2,
SUMPRODUCT(INDEX($AL$56:$AN$60,,$AE104), INDEX($AO$56:$AU$60,,$AD104), 1 / ($AV$56:$AV$60*CI104 + (1-$AV$56:$AV$60)*CE104), N($AK$56:$AK$60&gt;$AI104)),
SUMPRODUCT(INDEX($AL$46:$AN$55,,$AE104), INDEX($AO$46:$AU$55,,$AD104), 1 / ($AW$46:$AW$55*CI104 + (1-$AW$46:$AW$55)*CE104), N($AK$46:$AK$55&gt;$AI104))
) / 1000</f>
        <v>0</v>
      </c>
      <c r="CK104" s="50">
        <f t="shared" si="77"/>
        <v>20</v>
      </c>
      <c r="CL104" s="46">
        <f t="shared" si="78"/>
        <v>33</v>
      </c>
      <c r="CM104" s="49">
        <f t="shared" si="79"/>
        <v>4.8487499999999999</v>
      </c>
      <c r="CN104" s="49" cm="1">
        <f t="array" ref="CN104">$BC104 * IF($AD104&lt;=2,
SUMPRODUCT(INDEX($AL$51:$AN$55,,$AE104), INDEX($AO$51:$AU$55,,$AD104), 1 / ($AV$51:$AV$55*CM104 + (1-$AV$51:$AV$55)*CI104), N($AK$51:$AK$55&gt;$AI104)),
SUMPRODUCT(INDEX($AL$36:$AN$45,,$AE104), INDEX($AO$36:$AU$45,,$AD104), 1 / ($AW$36:$AW$45*CM104 + (1-$AW$36:$AW$45)*CI104), N($AK$36:$AK$45&gt;$AI104))
) / 1000</f>
        <v>0</v>
      </c>
      <c r="CO104" s="49" cm="1">
        <f t="array" ref="CO104">$BC104 * IF($AD104&lt;=2,
SUMPRODUCT(INDEX($AL$12:$AN$50,,$AE104), INDEX($AO$12:$AU$50,,$AD104), 1 / ($AV$12:$AV$50*CM104), N($AK$12:$AK$50&gt;$AI104)),
SUMPRODUCT(INDEX($AL$12:$AN$35,,$AE104), INDEX($AO$12:$AU$35,,$AD104), 1 / ($AW$12:$AW$35*CM104), N($AK$12:$AK$35&gt;$AI104))
) / 1000</f>
        <v>0</v>
      </c>
      <c r="CP104" s="46">
        <f t="shared" si="80"/>
        <v>0</v>
      </c>
      <c r="CQ104" s="20"/>
    </row>
    <row r="105" spans="1:95" s="95" customFormat="1" ht="14.25" customHeight="1" x14ac:dyDescent="0.2">
      <c r="A105" s="36" t="b">
        <f t="shared" si="44"/>
        <v>0</v>
      </c>
      <c r="B105" s="94">
        <v>94</v>
      </c>
      <c r="C105" s="7"/>
      <c r="D105" s="7"/>
      <c r="E105" s="33"/>
      <c r="F105" s="8" t="str">
        <f>IF(ISBLANK(E105), "", VLOOKUP(E105, Z!$A$2:$C$4127, 3, FALSE))</f>
        <v/>
      </c>
      <c r="G105" s="44"/>
      <c r="H105" s="44"/>
      <c r="I105" s="107"/>
      <c r="J105" s="108"/>
      <c r="K105" s="34"/>
      <c r="L105" s="59"/>
      <c r="M105" s="58" t="str" cm="1">
        <f t="array" ref="M105">IF($K105&gt;0, INDEX(Clean,1+AG105,$B$1), "")</f>
        <v/>
      </c>
      <c r="N105" s="62"/>
      <c r="O105" s="62"/>
      <c r="P105" s="63"/>
      <c r="Q105" s="52">
        <f t="shared" si="50"/>
        <v>0</v>
      </c>
      <c r="R105" s="58" t="str" cm="1">
        <f t="array" ref="R105">IF($K105&gt;0, INDEX(Clean,1+AH105,$B$1), "")</f>
        <v/>
      </c>
      <c r="S105" s="62"/>
      <c r="T105" s="62"/>
      <c r="U105" s="63"/>
      <c r="V105" s="52">
        <f t="shared" si="51"/>
        <v>0</v>
      </c>
      <c r="W105" s="6"/>
      <c r="X105" s="7"/>
      <c r="Y105" s="33"/>
      <c r="Z105" s="8" t="str">
        <f>IF(ISBLANK(Y105), "", VLOOKUP(Y105, Z!$A$2:$C$4127, 3, FALSE))</f>
        <v/>
      </c>
      <c r="AA105" s="38"/>
      <c r="AB105" s="9">
        <f t="shared" si="45"/>
        <v>0</v>
      </c>
      <c r="AC105" s="20"/>
      <c r="AD105" s="41">
        <f t="shared" si="46"/>
        <v>1</v>
      </c>
      <c r="AE105" s="41">
        <f t="shared" si="47"/>
        <v>1</v>
      </c>
      <c r="AF105" s="41">
        <f t="shared" si="48"/>
        <v>0</v>
      </c>
      <c r="AG105" s="41">
        <v>1</v>
      </c>
      <c r="AH105" s="41">
        <v>0</v>
      </c>
      <c r="AI105" s="41">
        <f t="shared" si="49"/>
        <v>-100</v>
      </c>
      <c r="AJ105" s="20"/>
      <c r="AK105" s="45"/>
      <c r="AL105" s="45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20"/>
      <c r="AY105" s="41" cm="1">
        <f t="array" ref="AY105">INDEX(Use, $AD105, 4)</f>
        <v>7</v>
      </c>
      <c r="AZ105" s="41">
        <f t="shared" si="52"/>
        <v>32</v>
      </c>
      <c r="BA105" s="41">
        <f t="shared" si="53"/>
        <v>13</v>
      </c>
      <c r="BB105" s="41">
        <f t="shared" si="54"/>
        <v>0</v>
      </c>
      <c r="BC105" s="57" cm="1">
        <f t="array" ref="BC105">K105/IF($L105&gt;0, INDEX($AO$12:$AU$66, $L105+20, $AD105), 1)</f>
        <v>0</v>
      </c>
      <c r="BD105" s="46">
        <f t="shared" si="55"/>
        <v>0</v>
      </c>
      <c r="BE105" s="41">
        <v>35</v>
      </c>
      <c r="BF105" s="46">
        <f t="shared" si="56"/>
        <v>52.55</v>
      </c>
      <c r="BG105" s="49">
        <f t="shared" si="57"/>
        <v>2.7676728869374316</v>
      </c>
      <c r="BH105" s="49" cm="1">
        <f t="array" ref="BH105">$BC105 * SUMPRODUCT(INDEX($AL$66:$AN$71,,$AE105),INDEX($AO$66:$AU$71,,$AD105), N($AK$66:$AK$71&gt;$AI105)) / BG105 / 1000</f>
        <v>0</v>
      </c>
      <c r="BI105" s="50">
        <f t="shared" si="58"/>
        <v>30</v>
      </c>
      <c r="BJ105" s="46">
        <f t="shared" si="59"/>
        <v>46.033333333333331</v>
      </c>
      <c r="BK105" s="49">
        <f t="shared" si="60"/>
        <v>3.2297395388556791</v>
      </c>
      <c r="BL105" s="49" cm="1">
        <f t="array" ref="BL105">$BC105 * IF($AD105&lt;=2,
SUMPRODUCT(INDEX($AL$61:$AN$65,,$AE105), INDEX($AO$61:$AU$65,,$AD105), 1 / ($AV$61:$AV$65*BK105 + (1-$AV$61:$AV$65)*BG105), N($AK$61:$AK$65&gt;$AI105)),
SUMPRODUCT(INDEX($AL$56:$AN$65,,$AE105), INDEX($AO$56:$AU$65,,$AD105), 1 / ($AW$56:$AW$65*BK105 + (1-$AW$56:$AW$65)*BG105), N($AK$56:$AK$65&gt;$AI105))
) / 1000</f>
        <v>0</v>
      </c>
      <c r="BM105" s="50">
        <f t="shared" si="61"/>
        <v>25</v>
      </c>
      <c r="BN105" s="46">
        <f t="shared" si="62"/>
        <v>39.516666666666666</v>
      </c>
      <c r="BO105" s="49">
        <f t="shared" si="63"/>
        <v>3.877011788826243</v>
      </c>
      <c r="BP105" s="49" cm="1">
        <f t="array" ref="BP105">$BC105 * IF($AD105&lt;=2,
SUMPRODUCT(INDEX($AL$56:$AN$60,,$AE105), INDEX($AO$56:$AU$60,,$AD105), 1 / ($AV$56:$AV$60*BO105 + (1-$AV$56:$AV$60)*BK105), N($AK$56:$AK$60&gt;$AI105)),
SUMPRODUCT(INDEX($AL$46:$AN$55,,$AE105), INDEX($AO$46:$AU$55,,$AD105), 1 / ($AW$46:$AW$55*BO105 + (1-$AW$46:$AW$55)*BK105), N($AK$46:$AK$55&gt;$AI105))
) / 1000</f>
        <v>0</v>
      </c>
      <c r="BQ105" s="50">
        <f t="shared" si="64"/>
        <v>20</v>
      </c>
      <c r="BR105" s="46">
        <f t="shared" si="65"/>
        <v>33</v>
      </c>
      <c r="BS105" s="49">
        <f t="shared" si="66"/>
        <v>4.8487499999999999</v>
      </c>
      <c r="BT105" s="49" cm="1">
        <f t="array" ref="BT105">$BC105 * IF($AD105&lt;=2,
SUMPRODUCT(INDEX($AL$51:$AN$55,,$AE105), INDEX($AO$51:$AU$55,,$AD105), 1 / ($AV$51:$AV$55*BS105 + (1-$AV$51:$AV$55)*BO105), N($AK$51:$AK$55&gt;$AI105)),
SUMPRODUCT(INDEX($AL$36:$AN$45,,$AE105), INDEX($AO$36:$AU$45,,$AD105), 1 / ($AW$36:$AW$45*BS105 + (1-$AW$36:$AW$45)*BO105), N($AK$36:$AK$45&gt;$AI105))
) / 1000</f>
        <v>0</v>
      </c>
      <c r="BU105" s="49" cm="1">
        <f t="array" ref="BU105">$BC105 * IF($AD105&lt;=2,
SUMPRODUCT(INDEX($AL$12:$AN$50,,$AE105), INDEX($AO$12:$AU$50,,$AD105), 1 / ($AV$12:$AV$50*BS105), N($AK$12:$AK$50&gt;$AI105)),
SUMPRODUCT(INDEX($AL$12:$AN$35,,$AE105), INDEX($AO$12:$AU$35,,$AD105), 1 / ($AW$12:$AW$35*BS105), N($AK$12:$AK$35&gt;$AI105))
) / 1000</f>
        <v>0</v>
      </c>
      <c r="BV105" s="46">
        <f t="shared" si="67"/>
        <v>0</v>
      </c>
      <c r="BW105" s="20"/>
      <c r="BX105" s="46">
        <f t="shared" si="68"/>
        <v>0</v>
      </c>
      <c r="BY105" s="41">
        <v>35</v>
      </c>
      <c r="BZ105" s="46">
        <f t="shared" si="69"/>
        <v>48</v>
      </c>
      <c r="CA105" s="49">
        <f t="shared" si="70"/>
        <v>3.0748170731707316</v>
      </c>
      <c r="CB105" s="49" cm="1">
        <f t="array" ref="CB105">$BC105 * SUMPRODUCT(INDEX($AL$66:$AN$71,,$AE105),INDEX($AO$66:$AU$71,,$AD105), N($AK$66:$AK$71&gt;$AI105)) / CA105 / 1000</f>
        <v>0</v>
      </c>
      <c r="CC105" s="50">
        <f t="shared" si="71"/>
        <v>30</v>
      </c>
      <c r="CD105" s="46">
        <f t="shared" si="72"/>
        <v>43</v>
      </c>
      <c r="CE105" s="49">
        <f t="shared" si="73"/>
        <v>3.5018750000000001</v>
      </c>
      <c r="CF105" s="49" cm="1">
        <f t="array" ref="CF105">$BC105 * IF($AD105&lt;=2,
SUMPRODUCT(INDEX($AL$61:$AN$65,,$AE105), INDEX($AO$61:$AU$65,,$AD105), 1 / ($AV$61:$AV$65*CE105 + (1-$AV$61:$AV$65)*CA105), N($AK$61:$AK$65&gt;$AI105)),
SUMPRODUCT(INDEX($AL$56:$AN$65,,$AE105), INDEX($AO$56:$AU$65,,$AD105), 1 / ($AW$56:$AW$65*CE105 + (1-$AW$56:$AW$65)*CA105), N($AK$56:$AK$65&gt;$AI105))
) / 1000</f>
        <v>0</v>
      </c>
      <c r="CG105" s="50">
        <f t="shared" si="74"/>
        <v>25</v>
      </c>
      <c r="CH105" s="46">
        <f t="shared" si="75"/>
        <v>38</v>
      </c>
      <c r="CI105" s="49">
        <f t="shared" si="76"/>
        <v>4.0666935483870965</v>
      </c>
      <c r="CJ105" s="49" cm="1">
        <f t="array" ref="CJ105">$BC105 * IF($AD105&lt;=2,
SUMPRODUCT(INDEX($AL$56:$AN$60,,$AE105), INDEX($AO$56:$AU$60,,$AD105), 1 / ($AV$56:$AV$60*CI105 + (1-$AV$56:$AV$60)*CE105), N($AK$56:$AK$60&gt;$AI105)),
SUMPRODUCT(INDEX($AL$46:$AN$55,,$AE105), INDEX($AO$46:$AU$55,,$AD105), 1 / ($AW$46:$AW$55*CI105 + (1-$AW$46:$AW$55)*CE105), N($AK$46:$AK$55&gt;$AI105))
) / 1000</f>
        <v>0</v>
      </c>
      <c r="CK105" s="50">
        <f t="shared" si="77"/>
        <v>20</v>
      </c>
      <c r="CL105" s="46">
        <f t="shared" si="78"/>
        <v>33</v>
      </c>
      <c r="CM105" s="49">
        <f t="shared" si="79"/>
        <v>4.8487499999999999</v>
      </c>
      <c r="CN105" s="49" cm="1">
        <f t="array" ref="CN105">$BC105 * IF($AD105&lt;=2,
SUMPRODUCT(INDEX($AL$51:$AN$55,,$AE105), INDEX($AO$51:$AU$55,,$AD105), 1 / ($AV$51:$AV$55*CM105 + (1-$AV$51:$AV$55)*CI105), N($AK$51:$AK$55&gt;$AI105)),
SUMPRODUCT(INDEX($AL$36:$AN$45,,$AE105), INDEX($AO$36:$AU$45,,$AD105), 1 / ($AW$36:$AW$45*CM105 + (1-$AW$36:$AW$45)*CI105), N($AK$36:$AK$45&gt;$AI105))
) / 1000</f>
        <v>0</v>
      </c>
      <c r="CO105" s="49" cm="1">
        <f t="array" ref="CO105">$BC105 * IF($AD105&lt;=2,
SUMPRODUCT(INDEX($AL$12:$AN$50,,$AE105), INDEX($AO$12:$AU$50,,$AD105), 1 / ($AV$12:$AV$50*CM105), N($AK$12:$AK$50&gt;$AI105)),
SUMPRODUCT(INDEX($AL$12:$AN$35,,$AE105), INDEX($AO$12:$AU$35,,$AD105), 1 / ($AW$12:$AW$35*CM105), N($AK$12:$AK$35&gt;$AI105))
) / 1000</f>
        <v>0</v>
      </c>
      <c r="CP105" s="46">
        <f t="shared" si="80"/>
        <v>0</v>
      </c>
      <c r="CQ105" s="20"/>
    </row>
    <row r="106" spans="1:95" s="95" customFormat="1" ht="14.25" customHeight="1" x14ac:dyDescent="0.2">
      <c r="A106" s="36" t="b">
        <f t="shared" si="44"/>
        <v>0</v>
      </c>
      <c r="B106" s="94">
        <v>95</v>
      </c>
      <c r="C106" s="7"/>
      <c r="D106" s="7"/>
      <c r="E106" s="33"/>
      <c r="F106" s="8" t="str">
        <f>IF(ISBLANK(E106), "", VLOOKUP(E106, Z!$A$2:$C$4127, 3, FALSE))</f>
        <v/>
      </c>
      <c r="G106" s="44"/>
      <c r="H106" s="44"/>
      <c r="I106" s="107"/>
      <c r="J106" s="108"/>
      <c r="K106" s="34"/>
      <c r="L106" s="59"/>
      <c r="M106" s="58" t="str" cm="1">
        <f t="array" ref="M106">IF($K106&gt;0, INDEX(Clean,1+AG106,$B$1), "")</f>
        <v/>
      </c>
      <c r="N106" s="62"/>
      <c r="O106" s="62"/>
      <c r="P106" s="63"/>
      <c r="Q106" s="52">
        <f t="shared" si="50"/>
        <v>0</v>
      </c>
      <c r="R106" s="58" t="str" cm="1">
        <f t="array" ref="R106">IF($K106&gt;0, INDEX(Clean,1+AH106,$B$1), "")</f>
        <v/>
      </c>
      <c r="S106" s="62"/>
      <c r="T106" s="62"/>
      <c r="U106" s="63"/>
      <c r="V106" s="52">
        <f t="shared" si="51"/>
        <v>0</v>
      </c>
      <c r="W106" s="6"/>
      <c r="X106" s="7"/>
      <c r="Y106" s="33"/>
      <c r="Z106" s="8" t="str">
        <f>IF(ISBLANK(Y106), "", VLOOKUP(Y106, Z!$A$2:$C$4127, 3, FALSE))</f>
        <v/>
      </c>
      <c r="AA106" s="38"/>
      <c r="AB106" s="9">
        <f t="shared" si="45"/>
        <v>0</v>
      </c>
      <c r="AC106" s="20"/>
      <c r="AD106" s="41">
        <f t="shared" si="46"/>
        <v>1</v>
      </c>
      <c r="AE106" s="41">
        <f t="shared" si="47"/>
        <v>1</v>
      </c>
      <c r="AF106" s="41">
        <f t="shared" si="48"/>
        <v>0</v>
      </c>
      <c r="AG106" s="41">
        <v>1</v>
      </c>
      <c r="AH106" s="41">
        <v>0</v>
      </c>
      <c r="AI106" s="41">
        <f t="shared" si="49"/>
        <v>-100</v>
      </c>
      <c r="AJ106" s="20"/>
      <c r="AK106" s="45"/>
      <c r="AL106" s="45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20"/>
      <c r="AY106" s="41" cm="1">
        <f t="array" ref="AY106">INDEX(Use, $AD106, 4)</f>
        <v>7</v>
      </c>
      <c r="AZ106" s="41">
        <f t="shared" si="52"/>
        <v>32</v>
      </c>
      <c r="BA106" s="41">
        <f t="shared" si="53"/>
        <v>13</v>
      </c>
      <c r="BB106" s="41">
        <f t="shared" si="54"/>
        <v>0</v>
      </c>
      <c r="BC106" s="57" cm="1">
        <f t="array" ref="BC106">K106/IF($L106&gt;0, INDEX($AO$12:$AU$66, $L106+20, $AD106), 1)</f>
        <v>0</v>
      </c>
      <c r="BD106" s="46">
        <f t="shared" si="55"/>
        <v>0</v>
      </c>
      <c r="BE106" s="41">
        <v>35</v>
      </c>
      <c r="BF106" s="46">
        <f t="shared" si="56"/>
        <v>52.55</v>
      </c>
      <c r="BG106" s="49">
        <f t="shared" si="57"/>
        <v>2.7676728869374316</v>
      </c>
      <c r="BH106" s="49" cm="1">
        <f t="array" ref="BH106">$BC106 * SUMPRODUCT(INDEX($AL$66:$AN$71,,$AE106),INDEX($AO$66:$AU$71,,$AD106), N($AK$66:$AK$71&gt;$AI106)) / BG106 / 1000</f>
        <v>0</v>
      </c>
      <c r="BI106" s="50">
        <f t="shared" si="58"/>
        <v>30</v>
      </c>
      <c r="BJ106" s="46">
        <f t="shared" si="59"/>
        <v>46.033333333333331</v>
      </c>
      <c r="BK106" s="49">
        <f t="shared" si="60"/>
        <v>3.2297395388556791</v>
      </c>
      <c r="BL106" s="49" cm="1">
        <f t="array" ref="BL106">$BC106 * IF($AD106&lt;=2,
SUMPRODUCT(INDEX($AL$61:$AN$65,,$AE106), INDEX($AO$61:$AU$65,,$AD106), 1 / ($AV$61:$AV$65*BK106 + (1-$AV$61:$AV$65)*BG106), N($AK$61:$AK$65&gt;$AI106)),
SUMPRODUCT(INDEX($AL$56:$AN$65,,$AE106), INDEX($AO$56:$AU$65,,$AD106), 1 / ($AW$56:$AW$65*BK106 + (1-$AW$56:$AW$65)*BG106), N($AK$56:$AK$65&gt;$AI106))
) / 1000</f>
        <v>0</v>
      </c>
      <c r="BM106" s="50">
        <f t="shared" si="61"/>
        <v>25</v>
      </c>
      <c r="BN106" s="46">
        <f t="shared" si="62"/>
        <v>39.516666666666666</v>
      </c>
      <c r="BO106" s="49">
        <f t="shared" si="63"/>
        <v>3.877011788826243</v>
      </c>
      <c r="BP106" s="49" cm="1">
        <f t="array" ref="BP106">$BC106 * IF($AD106&lt;=2,
SUMPRODUCT(INDEX($AL$56:$AN$60,,$AE106), INDEX($AO$56:$AU$60,,$AD106), 1 / ($AV$56:$AV$60*BO106 + (1-$AV$56:$AV$60)*BK106), N($AK$56:$AK$60&gt;$AI106)),
SUMPRODUCT(INDEX($AL$46:$AN$55,,$AE106), INDEX($AO$46:$AU$55,,$AD106), 1 / ($AW$46:$AW$55*BO106 + (1-$AW$46:$AW$55)*BK106), N($AK$46:$AK$55&gt;$AI106))
) / 1000</f>
        <v>0</v>
      </c>
      <c r="BQ106" s="50">
        <f t="shared" si="64"/>
        <v>20</v>
      </c>
      <c r="BR106" s="46">
        <f t="shared" si="65"/>
        <v>33</v>
      </c>
      <c r="BS106" s="49">
        <f t="shared" si="66"/>
        <v>4.8487499999999999</v>
      </c>
      <c r="BT106" s="49" cm="1">
        <f t="array" ref="BT106">$BC106 * IF($AD106&lt;=2,
SUMPRODUCT(INDEX($AL$51:$AN$55,,$AE106), INDEX($AO$51:$AU$55,,$AD106), 1 / ($AV$51:$AV$55*BS106 + (1-$AV$51:$AV$55)*BO106), N($AK$51:$AK$55&gt;$AI106)),
SUMPRODUCT(INDEX($AL$36:$AN$45,,$AE106), INDEX($AO$36:$AU$45,,$AD106), 1 / ($AW$36:$AW$45*BS106 + (1-$AW$36:$AW$45)*BO106), N($AK$36:$AK$45&gt;$AI106))
) / 1000</f>
        <v>0</v>
      </c>
      <c r="BU106" s="49" cm="1">
        <f t="array" ref="BU106">$BC106 * IF($AD106&lt;=2,
SUMPRODUCT(INDEX($AL$12:$AN$50,,$AE106), INDEX($AO$12:$AU$50,,$AD106), 1 / ($AV$12:$AV$50*BS106), N($AK$12:$AK$50&gt;$AI106)),
SUMPRODUCT(INDEX($AL$12:$AN$35,,$AE106), INDEX($AO$12:$AU$35,,$AD106), 1 / ($AW$12:$AW$35*BS106), N($AK$12:$AK$35&gt;$AI106))
) / 1000</f>
        <v>0</v>
      </c>
      <c r="BV106" s="46">
        <f t="shared" si="67"/>
        <v>0</v>
      </c>
      <c r="BW106" s="20"/>
      <c r="BX106" s="46">
        <f t="shared" si="68"/>
        <v>0</v>
      </c>
      <c r="BY106" s="41">
        <v>35</v>
      </c>
      <c r="BZ106" s="46">
        <f t="shared" si="69"/>
        <v>48</v>
      </c>
      <c r="CA106" s="49">
        <f t="shared" si="70"/>
        <v>3.0748170731707316</v>
      </c>
      <c r="CB106" s="49" cm="1">
        <f t="array" ref="CB106">$BC106 * SUMPRODUCT(INDEX($AL$66:$AN$71,,$AE106),INDEX($AO$66:$AU$71,,$AD106), N($AK$66:$AK$71&gt;$AI106)) / CA106 / 1000</f>
        <v>0</v>
      </c>
      <c r="CC106" s="50">
        <f t="shared" si="71"/>
        <v>30</v>
      </c>
      <c r="CD106" s="46">
        <f t="shared" si="72"/>
        <v>43</v>
      </c>
      <c r="CE106" s="49">
        <f t="shared" si="73"/>
        <v>3.5018750000000001</v>
      </c>
      <c r="CF106" s="49" cm="1">
        <f t="array" ref="CF106">$BC106 * IF($AD106&lt;=2,
SUMPRODUCT(INDEX($AL$61:$AN$65,,$AE106), INDEX($AO$61:$AU$65,,$AD106), 1 / ($AV$61:$AV$65*CE106 + (1-$AV$61:$AV$65)*CA106), N($AK$61:$AK$65&gt;$AI106)),
SUMPRODUCT(INDEX($AL$56:$AN$65,,$AE106), INDEX($AO$56:$AU$65,,$AD106), 1 / ($AW$56:$AW$65*CE106 + (1-$AW$56:$AW$65)*CA106), N($AK$56:$AK$65&gt;$AI106))
) / 1000</f>
        <v>0</v>
      </c>
      <c r="CG106" s="50">
        <f t="shared" si="74"/>
        <v>25</v>
      </c>
      <c r="CH106" s="46">
        <f t="shared" si="75"/>
        <v>38</v>
      </c>
      <c r="CI106" s="49">
        <f t="shared" si="76"/>
        <v>4.0666935483870965</v>
      </c>
      <c r="CJ106" s="49" cm="1">
        <f t="array" ref="CJ106">$BC106 * IF($AD106&lt;=2,
SUMPRODUCT(INDEX($AL$56:$AN$60,,$AE106), INDEX($AO$56:$AU$60,,$AD106), 1 / ($AV$56:$AV$60*CI106 + (1-$AV$56:$AV$60)*CE106), N($AK$56:$AK$60&gt;$AI106)),
SUMPRODUCT(INDEX($AL$46:$AN$55,,$AE106), INDEX($AO$46:$AU$55,,$AD106), 1 / ($AW$46:$AW$55*CI106 + (1-$AW$46:$AW$55)*CE106), N($AK$46:$AK$55&gt;$AI106))
) / 1000</f>
        <v>0</v>
      </c>
      <c r="CK106" s="50">
        <f t="shared" si="77"/>
        <v>20</v>
      </c>
      <c r="CL106" s="46">
        <f t="shared" si="78"/>
        <v>33</v>
      </c>
      <c r="CM106" s="49">
        <f t="shared" si="79"/>
        <v>4.8487499999999999</v>
      </c>
      <c r="CN106" s="49" cm="1">
        <f t="array" ref="CN106">$BC106 * IF($AD106&lt;=2,
SUMPRODUCT(INDEX($AL$51:$AN$55,,$AE106), INDEX($AO$51:$AU$55,,$AD106), 1 / ($AV$51:$AV$55*CM106 + (1-$AV$51:$AV$55)*CI106), N($AK$51:$AK$55&gt;$AI106)),
SUMPRODUCT(INDEX($AL$36:$AN$45,,$AE106), INDEX($AO$36:$AU$45,,$AD106), 1 / ($AW$36:$AW$45*CM106 + (1-$AW$36:$AW$45)*CI106), N($AK$36:$AK$45&gt;$AI106))
) / 1000</f>
        <v>0</v>
      </c>
      <c r="CO106" s="49" cm="1">
        <f t="array" ref="CO106">$BC106 * IF($AD106&lt;=2,
SUMPRODUCT(INDEX($AL$12:$AN$50,,$AE106), INDEX($AO$12:$AU$50,,$AD106), 1 / ($AV$12:$AV$50*CM106), N($AK$12:$AK$50&gt;$AI106)),
SUMPRODUCT(INDEX($AL$12:$AN$35,,$AE106), INDEX($AO$12:$AU$35,,$AD106), 1 / ($AW$12:$AW$35*CM106), N($AK$12:$AK$35&gt;$AI106))
) / 1000</f>
        <v>0</v>
      </c>
      <c r="CP106" s="46">
        <f t="shared" si="80"/>
        <v>0</v>
      </c>
      <c r="CQ106" s="20"/>
    </row>
    <row r="107" spans="1:95" s="95" customFormat="1" ht="14.25" customHeight="1" x14ac:dyDescent="0.2">
      <c r="A107" s="36" t="b">
        <f t="shared" si="44"/>
        <v>0</v>
      </c>
      <c r="B107" s="94">
        <v>96</v>
      </c>
      <c r="C107" s="7"/>
      <c r="D107" s="7"/>
      <c r="E107" s="33"/>
      <c r="F107" s="8" t="str">
        <f>IF(ISBLANK(E107), "", VLOOKUP(E107, Z!$A$2:$C$4127, 3, FALSE))</f>
        <v/>
      </c>
      <c r="G107" s="44"/>
      <c r="H107" s="44"/>
      <c r="I107" s="107"/>
      <c r="J107" s="108"/>
      <c r="K107" s="34"/>
      <c r="L107" s="59"/>
      <c r="M107" s="58" t="str" cm="1">
        <f t="array" ref="M107">IF($K107&gt;0, INDEX(Clean,1+AG107,$B$1), "")</f>
        <v/>
      </c>
      <c r="N107" s="62"/>
      <c r="O107" s="62"/>
      <c r="P107" s="63"/>
      <c r="Q107" s="52">
        <f t="shared" si="50"/>
        <v>0</v>
      </c>
      <c r="R107" s="58" t="str" cm="1">
        <f t="array" ref="R107">IF($K107&gt;0, INDEX(Clean,1+AH107,$B$1), "")</f>
        <v/>
      </c>
      <c r="S107" s="62"/>
      <c r="T107" s="62"/>
      <c r="U107" s="63"/>
      <c r="V107" s="52">
        <f t="shared" si="51"/>
        <v>0</v>
      </c>
      <c r="W107" s="6"/>
      <c r="X107" s="7"/>
      <c r="Y107" s="33"/>
      <c r="Z107" s="8" t="str">
        <f>IF(ISBLANK(Y107), "", VLOOKUP(Y107, Z!$A$2:$C$4127, 3, FALSE))</f>
        <v/>
      </c>
      <c r="AA107" s="38"/>
      <c r="AB107" s="9">
        <f t="shared" si="45"/>
        <v>0</v>
      </c>
      <c r="AC107" s="20"/>
      <c r="AD107" s="41">
        <f t="shared" si="46"/>
        <v>1</v>
      </c>
      <c r="AE107" s="41">
        <f t="shared" si="47"/>
        <v>1</v>
      </c>
      <c r="AF107" s="41">
        <f t="shared" si="48"/>
        <v>0</v>
      </c>
      <c r="AG107" s="41">
        <v>1</v>
      </c>
      <c r="AH107" s="41">
        <v>0</v>
      </c>
      <c r="AI107" s="41">
        <f t="shared" si="49"/>
        <v>-100</v>
      </c>
      <c r="AJ107" s="20"/>
      <c r="AK107" s="45"/>
      <c r="AL107" s="45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20"/>
      <c r="AY107" s="41" cm="1">
        <f t="array" ref="AY107">INDEX(Use, $AD107, 4)</f>
        <v>7</v>
      </c>
      <c r="AZ107" s="41">
        <f t="shared" si="52"/>
        <v>32</v>
      </c>
      <c r="BA107" s="41">
        <f t="shared" si="53"/>
        <v>13</v>
      </c>
      <c r="BB107" s="41">
        <f t="shared" si="54"/>
        <v>0</v>
      </c>
      <c r="BC107" s="57" cm="1">
        <f t="array" ref="BC107">K107/IF($L107&gt;0, INDEX($AO$12:$AU$66, $L107+20, $AD107), 1)</f>
        <v>0</v>
      </c>
      <c r="BD107" s="46">
        <f t="shared" si="55"/>
        <v>0</v>
      </c>
      <c r="BE107" s="41">
        <v>35</v>
      </c>
      <c r="BF107" s="46">
        <f t="shared" si="56"/>
        <v>52.55</v>
      </c>
      <c r="BG107" s="49">
        <f t="shared" si="57"/>
        <v>2.7676728869374316</v>
      </c>
      <c r="BH107" s="49" cm="1">
        <f t="array" ref="BH107">$BC107 * SUMPRODUCT(INDEX($AL$66:$AN$71,,$AE107),INDEX($AO$66:$AU$71,,$AD107), N($AK$66:$AK$71&gt;$AI107)) / BG107 / 1000</f>
        <v>0</v>
      </c>
      <c r="BI107" s="50">
        <f t="shared" si="58"/>
        <v>30</v>
      </c>
      <c r="BJ107" s="46">
        <f t="shared" si="59"/>
        <v>46.033333333333331</v>
      </c>
      <c r="BK107" s="49">
        <f t="shared" si="60"/>
        <v>3.2297395388556791</v>
      </c>
      <c r="BL107" s="49" cm="1">
        <f t="array" ref="BL107">$BC107 * IF($AD107&lt;=2,
SUMPRODUCT(INDEX($AL$61:$AN$65,,$AE107), INDEX($AO$61:$AU$65,,$AD107), 1 / ($AV$61:$AV$65*BK107 + (1-$AV$61:$AV$65)*BG107), N($AK$61:$AK$65&gt;$AI107)),
SUMPRODUCT(INDEX($AL$56:$AN$65,,$AE107), INDEX($AO$56:$AU$65,,$AD107), 1 / ($AW$56:$AW$65*BK107 + (1-$AW$56:$AW$65)*BG107), N($AK$56:$AK$65&gt;$AI107))
) / 1000</f>
        <v>0</v>
      </c>
      <c r="BM107" s="50">
        <f t="shared" si="61"/>
        <v>25</v>
      </c>
      <c r="BN107" s="46">
        <f t="shared" si="62"/>
        <v>39.516666666666666</v>
      </c>
      <c r="BO107" s="49">
        <f t="shared" si="63"/>
        <v>3.877011788826243</v>
      </c>
      <c r="BP107" s="49" cm="1">
        <f t="array" ref="BP107">$BC107 * IF($AD107&lt;=2,
SUMPRODUCT(INDEX($AL$56:$AN$60,,$AE107), INDEX($AO$56:$AU$60,,$AD107), 1 / ($AV$56:$AV$60*BO107 + (1-$AV$56:$AV$60)*BK107), N($AK$56:$AK$60&gt;$AI107)),
SUMPRODUCT(INDEX($AL$46:$AN$55,,$AE107), INDEX($AO$46:$AU$55,,$AD107), 1 / ($AW$46:$AW$55*BO107 + (1-$AW$46:$AW$55)*BK107), N($AK$46:$AK$55&gt;$AI107))
) / 1000</f>
        <v>0</v>
      </c>
      <c r="BQ107" s="50">
        <f t="shared" si="64"/>
        <v>20</v>
      </c>
      <c r="BR107" s="46">
        <f t="shared" si="65"/>
        <v>33</v>
      </c>
      <c r="BS107" s="49">
        <f t="shared" si="66"/>
        <v>4.8487499999999999</v>
      </c>
      <c r="BT107" s="49" cm="1">
        <f t="array" ref="BT107">$BC107 * IF($AD107&lt;=2,
SUMPRODUCT(INDEX($AL$51:$AN$55,,$AE107), INDEX($AO$51:$AU$55,,$AD107), 1 / ($AV$51:$AV$55*BS107 + (1-$AV$51:$AV$55)*BO107), N($AK$51:$AK$55&gt;$AI107)),
SUMPRODUCT(INDEX($AL$36:$AN$45,,$AE107), INDEX($AO$36:$AU$45,,$AD107), 1 / ($AW$36:$AW$45*BS107 + (1-$AW$36:$AW$45)*BO107), N($AK$36:$AK$45&gt;$AI107))
) / 1000</f>
        <v>0</v>
      </c>
      <c r="BU107" s="49" cm="1">
        <f t="array" ref="BU107">$BC107 * IF($AD107&lt;=2,
SUMPRODUCT(INDEX($AL$12:$AN$50,,$AE107), INDEX($AO$12:$AU$50,,$AD107), 1 / ($AV$12:$AV$50*BS107), N($AK$12:$AK$50&gt;$AI107)),
SUMPRODUCT(INDEX($AL$12:$AN$35,,$AE107), INDEX($AO$12:$AU$35,,$AD107), 1 / ($AW$12:$AW$35*BS107), N($AK$12:$AK$35&gt;$AI107))
) / 1000</f>
        <v>0</v>
      </c>
      <c r="BV107" s="46">
        <f t="shared" si="67"/>
        <v>0</v>
      </c>
      <c r="BW107" s="20"/>
      <c r="BX107" s="46">
        <f t="shared" si="68"/>
        <v>0</v>
      </c>
      <c r="BY107" s="41">
        <v>35</v>
      </c>
      <c r="BZ107" s="46">
        <f t="shared" si="69"/>
        <v>48</v>
      </c>
      <c r="CA107" s="49">
        <f t="shared" si="70"/>
        <v>3.0748170731707316</v>
      </c>
      <c r="CB107" s="49" cm="1">
        <f t="array" ref="CB107">$BC107 * SUMPRODUCT(INDEX($AL$66:$AN$71,,$AE107),INDEX($AO$66:$AU$71,,$AD107), N($AK$66:$AK$71&gt;$AI107)) / CA107 / 1000</f>
        <v>0</v>
      </c>
      <c r="CC107" s="50">
        <f t="shared" si="71"/>
        <v>30</v>
      </c>
      <c r="CD107" s="46">
        <f t="shared" si="72"/>
        <v>43</v>
      </c>
      <c r="CE107" s="49">
        <f t="shared" si="73"/>
        <v>3.5018750000000001</v>
      </c>
      <c r="CF107" s="49" cm="1">
        <f t="array" ref="CF107">$BC107 * IF($AD107&lt;=2,
SUMPRODUCT(INDEX($AL$61:$AN$65,,$AE107), INDEX($AO$61:$AU$65,,$AD107), 1 / ($AV$61:$AV$65*CE107 + (1-$AV$61:$AV$65)*CA107), N($AK$61:$AK$65&gt;$AI107)),
SUMPRODUCT(INDEX($AL$56:$AN$65,,$AE107), INDEX($AO$56:$AU$65,,$AD107), 1 / ($AW$56:$AW$65*CE107 + (1-$AW$56:$AW$65)*CA107), N($AK$56:$AK$65&gt;$AI107))
) / 1000</f>
        <v>0</v>
      </c>
      <c r="CG107" s="50">
        <f t="shared" si="74"/>
        <v>25</v>
      </c>
      <c r="CH107" s="46">
        <f t="shared" si="75"/>
        <v>38</v>
      </c>
      <c r="CI107" s="49">
        <f t="shared" si="76"/>
        <v>4.0666935483870965</v>
      </c>
      <c r="CJ107" s="49" cm="1">
        <f t="array" ref="CJ107">$BC107 * IF($AD107&lt;=2,
SUMPRODUCT(INDEX($AL$56:$AN$60,,$AE107), INDEX($AO$56:$AU$60,,$AD107), 1 / ($AV$56:$AV$60*CI107 + (1-$AV$56:$AV$60)*CE107), N($AK$56:$AK$60&gt;$AI107)),
SUMPRODUCT(INDEX($AL$46:$AN$55,,$AE107), INDEX($AO$46:$AU$55,,$AD107), 1 / ($AW$46:$AW$55*CI107 + (1-$AW$46:$AW$55)*CE107), N($AK$46:$AK$55&gt;$AI107))
) / 1000</f>
        <v>0</v>
      </c>
      <c r="CK107" s="50">
        <f t="shared" si="77"/>
        <v>20</v>
      </c>
      <c r="CL107" s="46">
        <f t="shared" si="78"/>
        <v>33</v>
      </c>
      <c r="CM107" s="49">
        <f t="shared" si="79"/>
        <v>4.8487499999999999</v>
      </c>
      <c r="CN107" s="49" cm="1">
        <f t="array" ref="CN107">$BC107 * IF($AD107&lt;=2,
SUMPRODUCT(INDEX($AL$51:$AN$55,,$AE107), INDEX($AO$51:$AU$55,,$AD107), 1 / ($AV$51:$AV$55*CM107 + (1-$AV$51:$AV$55)*CI107), N($AK$51:$AK$55&gt;$AI107)),
SUMPRODUCT(INDEX($AL$36:$AN$45,,$AE107), INDEX($AO$36:$AU$45,,$AD107), 1 / ($AW$36:$AW$45*CM107 + (1-$AW$36:$AW$45)*CI107), N($AK$36:$AK$45&gt;$AI107))
) / 1000</f>
        <v>0</v>
      </c>
      <c r="CO107" s="49" cm="1">
        <f t="array" ref="CO107">$BC107 * IF($AD107&lt;=2,
SUMPRODUCT(INDEX($AL$12:$AN$50,,$AE107), INDEX($AO$12:$AU$50,,$AD107), 1 / ($AV$12:$AV$50*CM107), N($AK$12:$AK$50&gt;$AI107)),
SUMPRODUCT(INDEX($AL$12:$AN$35,,$AE107), INDEX($AO$12:$AU$35,,$AD107), 1 / ($AW$12:$AW$35*CM107), N($AK$12:$AK$35&gt;$AI107))
) / 1000</f>
        <v>0</v>
      </c>
      <c r="CP107" s="46">
        <f t="shared" si="80"/>
        <v>0</v>
      </c>
      <c r="CQ107" s="20"/>
    </row>
    <row r="108" spans="1:95" s="95" customFormat="1" ht="14.25" customHeight="1" x14ac:dyDescent="0.2">
      <c r="A108" s="36" t="b">
        <f t="shared" si="44"/>
        <v>0</v>
      </c>
      <c r="B108" s="94">
        <v>97</v>
      </c>
      <c r="C108" s="7"/>
      <c r="D108" s="7"/>
      <c r="E108" s="33"/>
      <c r="F108" s="8" t="str">
        <f>IF(ISBLANK(E108), "", VLOOKUP(E108, Z!$A$2:$C$4127, 3, FALSE))</f>
        <v/>
      </c>
      <c r="G108" s="44"/>
      <c r="H108" s="44"/>
      <c r="I108" s="107"/>
      <c r="J108" s="108"/>
      <c r="K108" s="34"/>
      <c r="L108" s="59"/>
      <c r="M108" s="58" t="str" cm="1">
        <f t="array" ref="M108">IF($K108&gt;0, INDEX(Clean,1+AG108,$B$1), "")</f>
        <v/>
      </c>
      <c r="N108" s="62"/>
      <c r="O108" s="62"/>
      <c r="P108" s="63"/>
      <c r="Q108" s="52">
        <f t="shared" si="50"/>
        <v>0</v>
      </c>
      <c r="R108" s="58" t="str" cm="1">
        <f t="array" ref="R108">IF($K108&gt;0, INDEX(Clean,1+AH108,$B$1), "")</f>
        <v/>
      </c>
      <c r="S108" s="62"/>
      <c r="T108" s="62"/>
      <c r="U108" s="63"/>
      <c r="V108" s="52">
        <f t="shared" si="51"/>
        <v>0</v>
      </c>
      <c r="W108" s="6"/>
      <c r="X108" s="7"/>
      <c r="Y108" s="33"/>
      <c r="Z108" s="8" t="str">
        <f>IF(ISBLANK(Y108), "", VLOOKUP(Y108, Z!$A$2:$C$4127, 3, FALSE))</f>
        <v/>
      </c>
      <c r="AA108" s="38"/>
      <c r="AB108" s="9">
        <f t="shared" si="45"/>
        <v>0</v>
      </c>
      <c r="AC108" s="20"/>
      <c r="AD108" s="41">
        <f t="shared" si="46"/>
        <v>1</v>
      </c>
      <c r="AE108" s="41">
        <f t="shared" si="47"/>
        <v>1</v>
      </c>
      <c r="AF108" s="41">
        <f t="shared" si="48"/>
        <v>0</v>
      </c>
      <c r="AG108" s="41">
        <v>1</v>
      </c>
      <c r="AH108" s="41">
        <v>0</v>
      </c>
      <c r="AI108" s="41">
        <f t="shared" si="49"/>
        <v>-100</v>
      </c>
      <c r="AJ108" s="20"/>
      <c r="AK108" s="45"/>
      <c r="AL108" s="45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20"/>
      <c r="AY108" s="41" cm="1">
        <f t="array" ref="AY108">INDEX(Use, $AD108, 4)</f>
        <v>7</v>
      </c>
      <c r="AZ108" s="41">
        <f t="shared" si="52"/>
        <v>32</v>
      </c>
      <c r="BA108" s="41">
        <f t="shared" si="53"/>
        <v>13</v>
      </c>
      <c r="BB108" s="41">
        <f t="shared" si="54"/>
        <v>0</v>
      </c>
      <c r="BC108" s="57" cm="1">
        <f t="array" ref="BC108">K108/IF($L108&gt;0, INDEX($AO$12:$AU$66, $L108+20, $AD108), 1)</f>
        <v>0</v>
      </c>
      <c r="BD108" s="46">
        <f t="shared" si="55"/>
        <v>0</v>
      </c>
      <c r="BE108" s="41">
        <v>35</v>
      </c>
      <c r="BF108" s="46">
        <f t="shared" si="56"/>
        <v>52.55</v>
      </c>
      <c r="BG108" s="49">
        <f t="shared" si="57"/>
        <v>2.7676728869374316</v>
      </c>
      <c r="BH108" s="49" cm="1">
        <f t="array" ref="BH108">$BC108 * SUMPRODUCT(INDEX($AL$66:$AN$71,,$AE108),INDEX($AO$66:$AU$71,,$AD108), N($AK$66:$AK$71&gt;$AI108)) / BG108 / 1000</f>
        <v>0</v>
      </c>
      <c r="BI108" s="50">
        <f t="shared" si="58"/>
        <v>30</v>
      </c>
      <c r="BJ108" s="46">
        <f t="shared" si="59"/>
        <v>46.033333333333331</v>
      </c>
      <c r="BK108" s="49">
        <f t="shared" si="60"/>
        <v>3.2297395388556791</v>
      </c>
      <c r="BL108" s="49" cm="1">
        <f t="array" ref="BL108">$BC108 * IF($AD108&lt;=2,
SUMPRODUCT(INDEX($AL$61:$AN$65,,$AE108), INDEX($AO$61:$AU$65,,$AD108), 1 / ($AV$61:$AV$65*BK108 + (1-$AV$61:$AV$65)*BG108), N($AK$61:$AK$65&gt;$AI108)),
SUMPRODUCT(INDEX($AL$56:$AN$65,,$AE108), INDEX($AO$56:$AU$65,,$AD108), 1 / ($AW$56:$AW$65*BK108 + (1-$AW$56:$AW$65)*BG108), N($AK$56:$AK$65&gt;$AI108))
) / 1000</f>
        <v>0</v>
      </c>
      <c r="BM108" s="50">
        <f t="shared" si="61"/>
        <v>25</v>
      </c>
      <c r="BN108" s="46">
        <f t="shared" si="62"/>
        <v>39.516666666666666</v>
      </c>
      <c r="BO108" s="49">
        <f t="shared" si="63"/>
        <v>3.877011788826243</v>
      </c>
      <c r="BP108" s="49" cm="1">
        <f t="array" ref="BP108">$BC108 * IF($AD108&lt;=2,
SUMPRODUCT(INDEX($AL$56:$AN$60,,$AE108), INDEX($AO$56:$AU$60,,$AD108), 1 / ($AV$56:$AV$60*BO108 + (1-$AV$56:$AV$60)*BK108), N($AK$56:$AK$60&gt;$AI108)),
SUMPRODUCT(INDEX($AL$46:$AN$55,,$AE108), INDEX($AO$46:$AU$55,,$AD108), 1 / ($AW$46:$AW$55*BO108 + (1-$AW$46:$AW$55)*BK108), N($AK$46:$AK$55&gt;$AI108))
) / 1000</f>
        <v>0</v>
      </c>
      <c r="BQ108" s="50">
        <f t="shared" si="64"/>
        <v>20</v>
      </c>
      <c r="BR108" s="46">
        <f t="shared" si="65"/>
        <v>33</v>
      </c>
      <c r="BS108" s="49">
        <f t="shared" si="66"/>
        <v>4.8487499999999999</v>
      </c>
      <c r="BT108" s="49" cm="1">
        <f t="array" ref="BT108">$BC108 * IF($AD108&lt;=2,
SUMPRODUCT(INDEX($AL$51:$AN$55,,$AE108), INDEX($AO$51:$AU$55,,$AD108), 1 / ($AV$51:$AV$55*BS108 + (1-$AV$51:$AV$55)*BO108), N($AK$51:$AK$55&gt;$AI108)),
SUMPRODUCT(INDEX($AL$36:$AN$45,,$AE108), INDEX($AO$36:$AU$45,,$AD108), 1 / ($AW$36:$AW$45*BS108 + (1-$AW$36:$AW$45)*BO108), N($AK$36:$AK$45&gt;$AI108))
) / 1000</f>
        <v>0</v>
      </c>
      <c r="BU108" s="49" cm="1">
        <f t="array" ref="BU108">$BC108 * IF($AD108&lt;=2,
SUMPRODUCT(INDEX($AL$12:$AN$50,,$AE108), INDEX($AO$12:$AU$50,,$AD108), 1 / ($AV$12:$AV$50*BS108), N($AK$12:$AK$50&gt;$AI108)),
SUMPRODUCT(INDEX($AL$12:$AN$35,,$AE108), INDEX($AO$12:$AU$35,,$AD108), 1 / ($AW$12:$AW$35*BS108), N($AK$12:$AK$35&gt;$AI108))
) / 1000</f>
        <v>0</v>
      </c>
      <c r="BV108" s="46">
        <f t="shared" si="67"/>
        <v>0</v>
      </c>
      <c r="BW108" s="20"/>
      <c r="BX108" s="46">
        <f t="shared" si="68"/>
        <v>0</v>
      </c>
      <c r="BY108" s="41">
        <v>35</v>
      </c>
      <c r="BZ108" s="46">
        <f t="shared" si="69"/>
        <v>48</v>
      </c>
      <c r="CA108" s="49">
        <f t="shared" si="70"/>
        <v>3.0748170731707316</v>
      </c>
      <c r="CB108" s="49" cm="1">
        <f t="array" ref="CB108">$BC108 * SUMPRODUCT(INDEX($AL$66:$AN$71,,$AE108),INDEX($AO$66:$AU$71,,$AD108), N($AK$66:$AK$71&gt;$AI108)) / CA108 / 1000</f>
        <v>0</v>
      </c>
      <c r="CC108" s="50">
        <f t="shared" si="71"/>
        <v>30</v>
      </c>
      <c r="CD108" s="46">
        <f t="shared" si="72"/>
        <v>43</v>
      </c>
      <c r="CE108" s="49">
        <f t="shared" si="73"/>
        <v>3.5018750000000001</v>
      </c>
      <c r="CF108" s="49" cm="1">
        <f t="array" ref="CF108">$BC108 * IF($AD108&lt;=2,
SUMPRODUCT(INDEX($AL$61:$AN$65,,$AE108), INDEX($AO$61:$AU$65,,$AD108), 1 / ($AV$61:$AV$65*CE108 + (1-$AV$61:$AV$65)*CA108), N($AK$61:$AK$65&gt;$AI108)),
SUMPRODUCT(INDEX($AL$56:$AN$65,,$AE108), INDEX($AO$56:$AU$65,,$AD108), 1 / ($AW$56:$AW$65*CE108 + (1-$AW$56:$AW$65)*CA108), N($AK$56:$AK$65&gt;$AI108))
) / 1000</f>
        <v>0</v>
      </c>
      <c r="CG108" s="50">
        <f t="shared" si="74"/>
        <v>25</v>
      </c>
      <c r="CH108" s="46">
        <f t="shared" si="75"/>
        <v>38</v>
      </c>
      <c r="CI108" s="49">
        <f t="shared" si="76"/>
        <v>4.0666935483870965</v>
      </c>
      <c r="CJ108" s="49" cm="1">
        <f t="array" ref="CJ108">$BC108 * IF($AD108&lt;=2,
SUMPRODUCT(INDEX($AL$56:$AN$60,,$AE108), INDEX($AO$56:$AU$60,,$AD108), 1 / ($AV$56:$AV$60*CI108 + (1-$AV$56:$AV$60)*CE108), N($AK$56:$AK$60&gt;$AI108)),
SUMPRODUCT(INDEX($AL$46:$AN$55,,$AE108), INDEX($AO$46:$AU$55,,$AD108), 1 / ($AW$46:$AW$55*CI108 + (1-$AW$46:$AW$55)*CE108), N($AK$46:$AK$55&gt;$AI108))
) / 1000</f>
        <v>0</v>
      </c>
      <c r="CK108" s="50">
        <f t="shared" si="77"/>
        <v>20</v>
      </c>
      <c r="CL108" s="46">
        <f t="shared" si="78"/>
        <v>33</v>
      </c>
      <c r="CM108" s="49">
        <f t="shared" si="79"/>
        <v>4.8487499999999999</v>
      </c>
      <c r="CN108" s="49" cm="1">
        <f t="array" ref="CN108">$BC108 * IF($AD108&lt;=2,
SUMPRODUCT(INDEX($AL$51:$AN$55,,$AE108), INDEX($AO$51:$AU$55,,$AD108), 1 / ($AV$51:$AV$55*CM108 + (1-$AV$51:$AV$55)*CI108), N($AK$51:$AK$55&gt;$AI108)),
SUMPRODUCT(INDEX($AL$36:$AN$45,,$AE108), INDEX($AO$36:$AU$45,,$AD108), 1 / ($AW$36:$AW$45*CM108 + (1-$AW$36:$AW$45)*CI108), N($AK$36:$AK$45&gt;$AI108))
) / 1000</f>
        <v>0</v>
      </c>
      <c r="CO108" s="49" cm="1">
        <f t="array" ref="CO108">$BC108 * IF($AD108&lt;=2,
SUMPRODUCT(INDEX($AL$12:$AN$50,,$AE108), INDEX($AO$12:$AU$50,,$AD108), 1 / ($AV$12:$AV$50*CM108), N($AK$12:$AK$50&gt;$AI108)),
SUMPRODUCT(INDEX($AL$12:$AN$35,,$AE108), INDEX($AO$12:$AU$35,,$AD108), 1 / ($AW$12:$AW$35*CM108), N($AK$12:$AK$35&gt;$AI108))
) / 1000</f>
        <v>0</v>
      </c>
      <c r="CP108" s="46">
        <f t="shared" si="80"/>
        <v>0</v>
      </c>
      <c r="CQ108" s="20"/>
    </row>
    <row r="109" spans="1:95" s="95" customFormat="1" ht="14.25" customHeight="1" x14ac:dyDescent="0.2">
      <c r="A109" s="36" t="b">
        <f t="shared" si="44"/>
        <v>0</v>
      </c>
      <c r="B109" s="94">
        <v>98</v>
      </c>
      <c r="C109" s="7"/>
      <c r="D109" s="7"/>
      <c r="E109" s="33"/>
      <c r="F109" s="8" t="str">
        <f>IF(ISBLANK(E109), "", VLOOKUP(E109, Z!$A$2:$C$4127, 3, FALSE))</f>
        <v/>
      </c>
      <c r="G109" s="44"/>
      <c r="H109" s="44"/>
      <c r="I109" s="107"/>
      <c r="J109" s="108"/>
      <c r="K109" s="34"/>
      <c r="L109" s="59"/>
      <c r="M109" s="58" t="str" cm="1">
        <f t="array" ref="M109">IF($K109&gt;0, INDEX(Clean,1+AG109,$B$1), "")</f>
        <v/>
      </c>
      <c r="N109" s="62"/>
      <c r="O109" s="62"/>
      <c r="P109" s="63"/>
      <c r="Q109" s="52">
        <f t="shared" si="50"/>
        <v>0</v>
      </c>
      <c r="R109" s="58" t="str" cm="1">
        <f t="array" ref="R109">IF($K109&gt;0, INDEX(Clean,1+AH109,$B$1), "")</f>
        <v/>
      </c>
      <c r="S109" s="62"/>
      <c r="T109" s="62"/>
      <c r="U109" s="63"/>
      <c r="V109" s="52">
        <f t="shared" si="51"/>
        <v>0</v>
      </c>
      <c r="W109" s="6"/>
      <c r="X109" s="7"/>
      <c r="Y109" s="33"/>
      <c r="Z109" s="8" t="str">
        <f>IF(ISBLANK(Y109), "", VLOOKUP(Y109, Z!$A$2:$C$4127, 3, FALSE))</f>
        <v/>
      </c>
      <c r="AA109" s="38"/>
      <c r="AB109" s="9">
        <f t="shared" si="45"/>
        <v>0</v>
      </c>
      <c r="AC109" s="20"/>
      <c r="AD109" s="41">
        <f t="shared" si="46"/>
        <v>1</v>
      </c>
      <c r="AE109" s="41">
        <f t="shared" si="47"/>
        <v>1</v>
      </c>
      <c r="AF109" s="41">
        <f t="shared" si="48"/>
        <v>0</v>
      </c>
      <c r="AG109" s="41">
        <v>1</v>
      </c>
      <c r="AH109" s="41">
        <v>0</v>
      </c>
      <c r="AI109" s="41">
        <f t="shared" si="49"/>
        <v>-100</v>
      </c>
      <c r="AJ109" s="20"/>
      <c r="AK109" s="45"/>
      <c r="AL109" s="45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20"/>
      <c r="AY109" s="41" cm="1">
        <f t="array" ref="AY109">INDEX(Use, $AD109, 4)</f>
        <v>7</v>
      </c>
      <c r="AZ109" s="41">
        <f t="shared" si="52"/>
        <v>32</v>
      </c>
      <c r="BA109" s="41">
        <f t="shared" si="53"/>
        <v>13</v>
      </c>
      <c r="BB109" s="41">
        <f t="shared" si="54"/>
        <v>0</v>
      </c>
      <c r="BC109" s="57" cm="1">
        <f t="array" ref="BC109">K109/IF($L109&gt;0, INDEX($AO$12:$AU$66, $L109+20, $AD109), 1)</f>
        <v>0</v>
      </c>
      <c r="BD109" s="46">
        <f t="shared" si="55"/>
        <v>0</v>
      </c>
      <c r="BE109" s="41">
        <v>35</v>
      </c>
      <c r="BF109" s="46">
        <f t="shared" si="56"/>
        <v>52.55</v>
      </c>
      <c r="BG109" s="49">
        <f t="shared" si="57"/>
        <v>2.7676728869374316</v>
      </c>
      <c r="BH109" s="49" cm="1">
        <f t="array" ref="BH109">$BC109 * SUMPRODUCT(INDEX($AL$66:$AN$71,,$AE109),INDEX($AO$66:$AU$71,,$AD109), N($AK$66:$AK$71&gt;$AI109)) / BG109 / 1000</f>
        <v>0</v>
      </c>
      <c r="BI109" s="50">
        <f t="shared" si="58"/>
        <v>30</v>
      </c>
      <c r="BJ109" s="46">
        <f t="shared" si="59"/>
        <v>46.033333333333331</v>
      </c>
      <c r="BK109" s="49">
        <f t="shared" si="60"/>
        <v>3.2297395388556791</v>
      </c>
      <c r="BL109" s="49" cm="1">
        <f t="array" ref="BL109">$BC109 * IF($AD109&lt;=2,
SUMPRODUCT(INDEX($AL$61:$AN$65,,$AE109), INDEX($AO$61:$AU$65,,$AD109), 1 / ($AV$61:$AV$65*BK109 + (1-$AV$61:$AV$65)*BG109), N($AK$61:$AK$65&gt;$AI109)),
SUMPRODUCT(INDEX($AL$56:$AN$65,,$AE109), INDEX($AO$56:$AU$65,,$AD109), 1 / ($AW$56:$AW$65*BK109 + (1-$AW$56:$AW$65)*BG109), N($AK$56:$AK$65&gt;$AI109))
) / 1000</f>
        <v>0</v>
      </c>
      <c r="BM109" s="50">
        <f t="shared" si="61"/>
        <v>25</v>
      </c>
      <c r="BN109" s="46">
        <f t="shared" si="62"/>
        <v>39.516666666666666</v>
      </c>
      <c r="BO109" s="49">
        <f t="shared" si="63"/>
        <v>3.877011788826243</v>
      </c>
      <c r="BP109" s="49" cm="1">
        <f t="array" ref="BP109">$BC109 * IF($AD109&lt;=2,
SUMPRODUCT(INDEX($AL$56:$AN$60,,$AE109), INDEX($AO$56:$AU$60,,$AD109), 1 / ($AV$56:$AV$60*BO109 + (1-$AV$56:$AV$60)*BK109), N($AK$56:$AK$60&gt;$AI109)),
SUMPRODUCT(INDEX($AL$46:$AN$55,,$AE109), INDEX($AO$46:$AU$55,,$AD109), 1 / ($AW$46:$AW$55*BO109 + (1-$AW$46:$AW$55)*BK109), N($AK$46:$AK$55&gt;$AI109))
) / 1000</f>
        <v>0</v>
      </c>
      <c r="BQ109" s="50">
        <f t="shared" si="64"/>
        <v>20</v>
      </c>
      <c r="BR109" s="46">
        <f t="shared" si="65"/>
        <v>33</v>
      </c>
      <c r="BS109" s="49">
        <f t="shared" si="66"/>
        <v>4.8487499999999999</v>
      </c>
      <c r="BT109" s="49" cm="1">
        <f t="array" ref="BT109">$BC109 * IF($AD109&lt;=2,
SUMPRODUCT(INDEX($AL$51:$AN$55,,$AE109), INDEX($AO$51:$AU$55,,$AD109), 1 / ($AV$51:$AV$55*BS109 + (1-$AV$51:$AV$55)*BO109), N($AK$51:$AK$55&gt;$AI109)),
SUMPRODUCT(INDEX($AL$36:$AN$45,,$AE109), INDEX($AO$36:$AU$45,,$AD109), 1 / ($AW$36:$AW$45*BS109 + (1-$AW$36:$AW$45)*BO109), N($AK$36:$AK$45&gt;$AI109))
) / 1000</f>
        <v>0</v>
      </c>
      <c r="BU109" s="49" cm="1">
        <f t="array" ref="BU109">$BC109 * IF($AD109&lt;=2,
SUMPRODUCT(INDEX($AL$12:$AN$50,,$AE109), INDEX($AO$12:$AU$50,,$AD109), 1 / ($AV$12:$AV$50*BS109), N($AK$12:$AK$50&gt;$AI109)),
SUMPRODUCT(INDEX($AL$12:$AN$35,,$AE109), INDEX($AO$12:$AU$35,,$AD109), 1 / ($AW$12:$AW$35*BS109), N($AK$12:$AK$35&gt;$AI109))
) / 1000</f>
        <v>0</v>
      </c>
      <c r="BV109" s="46">
        <f t="shared" si="67"/>
        <v>0</v>
      </c>
      <c r="BW109" s="20"/>
      <c r="BX109" s="46">
        <f t="shared" si="68"/>
        <v>0</v>
      </c>
      <c r="BY109" s="41">
        <v>35</v>
      </c>
      <c r="BZ109" s="46">
        <f t="shared" si="69"/>
        <v>48</v>
      </c>
      <c r="CA109" s="49">
        <f t="shared" si="70"/>
        <v>3.0748170731707316</v>
      </c>
      <c r="CB109" s="49" cm="1">
        <f t="array" ref="CB109">$BC109 * SUMPRODUCT(INDEX($AL$66:$AN$71,,$AE109),INDEX($AO$66:$AU$71,,$AD109), N($AK$66:$AK$71&gt;$AI109)) / CA109 / 1000</f>
        <v>0</v>
      </c>
      <c r="CC109" s="50">
        <f t="shared" si="71"/>
        <v>30</v>
      </c>
      <c r="CD109" s="46">
        <f t="shared" si="72"/>
        <v>43</v>
      </c>
      <c r="CE109" s="49">
        <f t="shared" si="73"/>
        <v>3.5018750000000001</v>
      </c>
      <c r="CF109" s="49" cm="1">
        <f t="array" ref="CF109">$BC109 * IF($AD109&lt;=2,
SUMPRODUCT(INDEX($AL$61:$AN$65,,$AE109), INDEX($AO$61:$AU$65,,$AD109), 1 / ($AV$61:$AV$65*CE109 + (1-$AV$61:$AV$65)*CA109), N($AK$61:$AK$65&gt;$AI109)),
SUMPRODUCT(INDEX($AL$56:$AN$65,,$AE109), INDEX($AO$56:$AU$65,,$AD109), 1 / ($AW$56:$AW$65*CE109 + (1-$AW$56:$AW$65)*CA109), N($AK$56:$AK$65&gt;$AI109))
) / 1000</f>
        <v>0</v>
      </c>
      <c r="CG109" s="50">
        <f t="shared" si="74"/>
        <v>25</v>
      </c>
      <c r="CH109" s="46">
        <f t="shared" si="75"/>
        <v>38</v>
      </c>
      <c r="CI109" s="49">
        <f t="shared" si="76"/>
        <v>4.0666935483870965</v>
      </c>
      <c r="CJ109" s="49" cm="1">
        <f t="array" ref="CJ109">$BC109 * IF($AD109&lt;=2,
SUMPRODUCT(INDEX($AL$56:$AN$60,,$AE109), INDEX($AO$56:$AU$60,,$AD109), 1 / ($AV$56:$AV$60*CI109 + (1-$AV$56:$AV$60)*CE109), N($AK$56:$AK$60&gt;$AI109)),
SUMPRODUCT(INDEX($AL$46:$AN$55,,$AE109), INDEX($AO$46:$AU$55,,$AD109), 1 / ($AW$46:$AW$55*CI109 + (1-$AW$46:$AW$55)*CE109), N($AK$46:$AK$55&gt;$AI109))
) / 1000</f>
        <v>0</v>
      </c>
      <c r="CK109" s="50">
        <f t="shared" si="77"/>
        <v>20</v>
      </c>
      <c r="CL109" s="46">
        <f t="shared" si="78"/>
        <v>33</v>
      </c>
      <c r="CM109" s="49">
        <f t="shared" si="79"/>
        <v>4.8487499999999999</v>
      </c>
      <c r="CN109" s="49" cm="1">
        <f t="array" ref="CN109">$BC109 * IF($AD109&lt;=2,
SUMPRODUCT(INDEX($AL$51:$AN$55,,$AE109), INDEX($AO$51:$AU$55,,$AD109), 1 / ($AV$51:$AV$55*CM109 + (1-$AV$51:$AV$55)*CI109), N($AK$51:$AK$55&gt;$AI109)),
SUMPRODUCT(INDEX($AL$36:$AN$45,,$AE109), INDEX($AO$36:$AU$45,,$AD109), 1 / ($AW$36:$AW$45*CM109 + (1-$AW$36:$AW$45)*CI109), N($AK$36:$AK$45&gt;$AI109))
) / 1000</f>
        <v>0</v>
      </c>
      <c r="CO109" s="49" cm="1">
        <f t="array" ref="CO109">$BC109 * IF($AD109&lt;=2,
SUMPRODUCT(INDEX($AL$12:$AN$50,,$AE109), INDEX($AO$12:$AU$50,,$AD109), 1 / ($AV$12:$AV$50*CM109), N($AK$12:$AK$50&gt;$AI109)),
SUMPRODUCT(INDEX($AL$12:$AN$35,,$AE109), INDEX($AO$12:$AU$35,,$AD109), 1 / ($AW$12:$AW$35*CM109), N($AK$12:$AK$35&gt;$AI109))
) / 1000</f>
        <v>0</v>
      </c>
      <c r="CP109" s="46">
        <f t="shared" si="80"/>
        <v>0</v>
      </c>
      <c r="CQ109" s="20"/>
    </row>
    <row r="110" spans="1:95" s="95" customFormat="1" ht="14.25" customHeight="1" x14ac:dyDescent="0.2">
      <c r="A110" s="36" t="b">
        <f t="shared" si="44"/>
        <v>0</v>
      </c>
      <c r="B110" s="94">
        <v>99</v>
      </c>
      <c r="C110" s="7"/>
      <c r="D110" s="7"/>
      <c r="E110" s="33"/>
      <c r="F110" s="8" t="str">
        <f>IF(ISBLANK(E110), "", VLOOKUP(E110, Z!$A$2:$C$4127, 3, FALSE))</f>
        <v/>
      </c>
      <c r="G110" s="44"/>
      <c r="H110" s="44"/>
      <c r="I110" s="107"/>
      <c r="J110" s="108"/>
      <c r="K110" s="34"/>
      <c r="L110" s="59"/>
      <c r="M110" s="58" t="str" cm="1">
        <f t="array" ref="M110">IF($K110&gt;0, INDEX(Clean,1+AG110,$B$1), "")</f>
        <v/>
      </c>
      <c r="N110" s="62"/>
      <c r="O110" s="62"/>
      <c r="P110" s="63"/>
      <c r="Q110" s="52">
        <f t="shared" si="50"/>
        <v>0</v>
      </c>
      <c r="R110" s="58" t="str" cm="1">
        <f t="array" ref="R110">IF($K110&gt;0, INDEX(Clean,1+AH110,$B$1), "")</f>
        <v/>
      </c>
      <c r="S110" s="62"/>
      <c r="T110" s="62"/>
      <c r="U110" s="63"/>
      <c r="V110" s="52">
        <f t="shared" si="51"/>
        <v>0</v>
      </c>
      <c r="W110" s="6"/>
      <c r="X110" s="7"/>
      <c r="Y110" s="33"/>
      <c r="Z110" s="8" t="str">
        <f>IF(ISBLANK(Y110), "", VLOOKUP(Y110, Z!$A$2:$C$4127, 3, FALSE))</f>
        <v/>
      </c>
      <c r="AA110" s="38"/>
      <c r="AB110" s="9">
        <f t="shared" si="45"/>
        <v>0</v>
      </c>
      <c r="AC110" s="20"/>
      <c r="AD110" s="41">
        <f t="shared" si="46"/>
        <v>1</v>
      </c>
      <c r="AE110" s="41">
        <f t="shared" si="47"/>
        <v>1</v>
      </c>
      <c r="AF110" s="41">
        <f t="shared" si="48"/>
        <v>0</v>
      </c>
      <c r="AG110" s="41">
        <v>1</v>
      </c>
      <c r="AH110" s="41">
        <v>0</v>
      </c>
      <c r="AI110" s="41">
        <f t="shared" si="49"/>
        <v>-100</v>
      </c>
      <c r="AJ110" s="20"/>
      <c r="AK110" s="45"/>
      <c r="AL110" s="45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20"/>
      <c r="AY110" s="41" cm="1">
        <f t="array" ref="AY110">INDEX(Use, $AD110, 4)</f>
        <v>7</v>
      </c>
      <c r="AZ110" s="41">
        <f t="shared" si="52"/>
        <v>32</v>
      </c>
      <c r="BA110" s="41">
        <f t="shared" si="53"/>
        <v>13</v>
      </c>
      <c r="BB110" s="41">
        <f t="shared" si="54"/>
        <v>0</v>
      </c>
      <c r="BC110" s="57" cm="1">
        <f t="array" ref="BC110">K110/IF($L110&gt;0, INDEX($AO$12:$AU$66, $L110+20, $AD110), 1)</f>
        <v>0</v>
      </c>
      <c r="BD110" s="46">
        <f t="shared" si="55"/>
        <v>0</v>
      </c>
      <c r="BE110" s="41">
        <v>35</v>
      </c>
      <c r="BF110" s="46">
        <f t="shared" si="56"/>
        <v>52.55</v>
      </c>
      <c r="BG110" s="49">
        <f t="shared" si="57"/>
        <v>2.7676728869374316</v>
      </c>
      <c r="BH110" s="49" cm="1">
        <f t="array" ref="BH110">$BC110 * SUMPRODUCT(INDEX($AL$66:$AN$71,,$AE110),INDEX($AO$66:$AU$71,,$AD110), N($AK$66:$AK$71&gt;$AI110)) / BG110 / 1000</f>
        <v>0</v>
      </c>
      <c r="BI110" s="50">
        <f t="shared" si="58"/>
        <v>30</v>
      </c>
      <c r="BJ110" s="46">
        <f t="shared" si="59"/>
        <v>46.033333333333331</v>
      </c>
      <c r="BK110" s="49">
        <f t="shared" si="60"/>
        <v>3.2297395388556791</v>
      </c>
      <c r="BL110" s="49" cm="1">
        <f t="array" ref="BL110">$BC110 * IF($AD110&lt;=2,
SUMPRODUCT(INDEX($AL$61:$AN$65,,$AE110), INDEX($AO$61:$AU$65,,$AD110), 1 / ($AV$61:$AV$65*BK110 + (1-$AV$61:$AV$65)*BG110), N($AK$61:$AK$65&gt;$AI110)),
SUMPRODUCT(INDEX($AL$56:$AN$65,,$AE110), INDEX($AO$56:$AU$65,,$AD110), 1 / ($AW$56:$AW$65*BK110 + (1-$AW$56:$AW$65)*BG110), N($AK$56:$AK$65&gt;$AI110))
) / 1000</f>
        <v>0</v>
      </c>
      <c r="BM110" s="50">
        <f t="shared" si="61"/>
        <v>25</v>
      </c>
      <c r="BN110" s="46">
        <f t="shared" si="62"/>
        <v>39.516666666666666</v>
      </c>
      <c r="BO110" s="49">
        <f t="shared" si="63"/>
        <v>3.877011788826243</v>
      </c>
      <c r="BP110" s="49" cm="1">
        <f t="array" ref="BP110">$BC110 * IF($AD110&lt;=2,
SUMPRODUCT(INDEX($AL$56:$AN$60,,$AE110), INDEX($AO$56:$AU$60,,$AD110), 1 / ($AV$56:$AV$60*BO110 + (1-$AV$56:$AV$60)*BK110), N($AK$56:$AK$60&gt;$AI110)),
SUMPRODUCT(INDEX($AL$46:$AN$55,,$AE110), INDEX($AO$46:$AU$55,,$AD110), 1 / ($AW$46:$AW$55*BO110 + (1-$AW$46:$AW$55)*BK110), N($AK$46:$AK$55&gt;$AI110))
) / 1000</f>
        <v>0</v>
      </c>
      <c r="BQ110" s="50">
        <f t="shared" si="64"/>
        <v>20</v>
      </c>
      <c r="BR110" s="46">
        <f t="shared" si="65"/>
        <v>33</v>
      </c>
      <c r="BS110" s="49">
        <f t="shared" si="66"/>
        <v>4.8487499999999999</v>
      </c>
      <c r="BT110" s="49" cm="1">
        <f t="array" ref="BT110">$BC110 * IF($AD110&lt;=2,
SUMPRODUCT(INDEX($AL$51:$AN$55,,$AE110), INDEX($AO$51:$AU$55,,$AD110), 1 / ($AV$51:$AV$55*BS110 + (1-$AV$51:$AV$55)*BO110), N($AK$51:$AK$55&gt;$AI110)),
SUMPRODUCT(INDEX($AL$36:$AN$45,,$AE110), INDEX($AO$36:$AU$45,,$AD110), 1 / ($AW$36:$AW$45*BS110 + (1-$AW$36:$AW$45)*BO110), N($AK$36:$AK$45&gt;$AI110))
) / 1000</f>
        <v>0</v>
      </c>
      <c r="BU110" s="49" cm="1">
        <f t="array" ref="BU110">$BC110 * IF($AD110&lt;=2,
SUMPRODUCT(INDEX($AL$12:$AN$50,,$AE110), INDEX($AO$12:$AU$50,,$AD110), 1 / ($AV$12:$AV$50*BS110), N($AK$12:$AK$50&gt;$AI110)),
SUMPRODUCT(INDEX($AL$12:$AN$35,,$AE110), INDEX($AO$12:$AU$35,,$AD110), 1 / ($AW$12:$AW$35*BS110), N($AK$12:$AK$35&gt;$AI110))
) / 1000</f>
        <v>0</v>
      </c>
      <c r="BV110" s="46">
        <f t="shared" si="67"/>
        <v>0</v>
      </c>
      <c r="BW110" s="20"/>
      <c r="BX110" s="46">
        <f t="shared" si="68"/>
        <v>0</v>
      </c>
      <c r="BY110" s="41">
        <v>35</v>
      </c>
      <c r="BZ110" s="46">
        <f t="shared" si="69"/>
        <v>48</v>
      </c>
      <c r="CA110" s="49">
        <f t="shared" si="70"/>
        <v>3.0748170731707316</v>
      </c>
      <c r="CB110" s="49" cm="1">
        <f t="array" ref="CB110">$BC110 * SUMPRODUCT(INDEX($AL$66:$AN$71,,$AE110),INDEX($AO$66:$AU$71,,$AD110), N($AK$66:$AK$71&gt;$AI110)) / CA110 / 1000</f>
        <v>0</v>
      </c>
      <c r="CC110" s="50">
        <f t="shared" si="71"/>
        <v>30</v>
      </c>
      <c r="CD110" s="46">
        <f t="shared" si="72"/>
        <v>43</v>
      </c>
      <c r="CE110" s="49">
        <f t="shared" si="73"/>
        <v>3.5018750000000001</v>
      </c>
      <c r="CF110" s="49" cm="1">
        <f t="array" ref="CF110">$BC110 * IF($AD110&lt;=2,
SUMPRODUCT(INDEX($AL$61:$AN$65,,$AE110), INDEX($AO$61:$AU$65,,$AD110), 1 / ($AV$61:$AV$65*CE110 + (1-$AV$61:$AV$65)*CA110), N($AK$61:$AK$65&gt;$AI110)),
SUMPRODUCT(INDEX($AL$56:$AN$65,,$AE110), INDEX($AO$56:$AU$65,,$AD110), 1 / ($AW$56:$AW$65*CE110 + (1-$AW$56:$AW$65)*CA110), N($AK$56:$AK$65&gt;$AI110))
) / 1000</f>
        <v>0</v>
      </c>
      <c r="CG110" s="50">
        <f t="shared" si="74"/>
        <v>25</v>
      </c>
      <c r="CH110" s="46">
        <f t="shared" si="75"/>
        <v>38</v>
      </c>
      <c r="CI110" s="49">
        <f t="shared" si="76"/>
        <v>4.0666935483870965</v>
      </c>
      <c r="CJ110" s="49" cm="1">
        <f t="array" ref="CJ110">$BC110 * IF($AD110&lt;=2,
SUMPRODUCT(INDEX($AL$56:$AN$60,,$AE110), INDEX($AO$56:$AU$60,,$AD110), 1 / ($AV$56:$AV$60*CI110 + (1-$AV$56:$AV$60)*CE110), N($AK$56:$AK$60&gt;$AI110)),
SUMPRODUCT(INDEX($AL$46:$AN$55,,$AE110), INDEX($AO$46:$AU$55,,$AD110), 1 / ($AW$46:$AW$55*CI110 + (1-$AW$46:$AW$55)*CE110), N($AK$46:$AK$55&gt;$AI110))
) / 1000</f>
        <v>0</v>
      </c>
      <c r="CK110" s="50">
        <f t="shared" si="77"/>
        <v>20</v>
      </c>
      <c r="CL110" s="46">
        <f t="shared" si="78"/>
        <v>33</v>
      </c>
      <c r="CM110" s="49">
        <f t="shared" si="79"/>
        <v>4.8487499999999999</v>
      </c>
      <c r="CN110" s="49" cm="1">
        <f t="array" ref="CN110">$BC110 * IF($AD110&lt;=2,
SUMPRODUCT(INDEX($AL$51:$AN$55,,$AE110), INDEX($AO$51:$AU$55,,$AD110), 1 / ($AV$51:$AV$55*CM110 + (1-$AV$51:$AV$55)*CI110), N($AK$51:$AK$55&gt;$AI110)),
SUMPRODUCT(INDEX($AL$36:$AN$45,,$AE110), INDEX($AO$36:$AU$45,,$AD110), 1 / ($AW$36:$AW$45*CM110 + (1-$AW$36:$AW$45)*CI110), N($AK$36:$AK$45&gt;$AI110))
) / 1000</f>
        <v>0</v>
      </c>
      <c r="CO110" s="49" cm="1">
        <f t="array" ref="CO110">$BC110 * IF($AD110&lt;=2,
SUMPRODUCT(INDEX($AL$12:$AN$50,,$AE110), INDEX($AO$12:$AU$50,,$AD110), 1 / ($AV$12:$AV$50*CM110), N($AK$12:$AK$50&gt;$AI110)),
SUMPRODUCT(INDEX($AL$12:$AN$35,,$AE110), INDEX($AO$12:$AU$35,,$AD110), 1 / ($AW$12:$AW$35*CM110), N($AK$12:$AK$35&gt;$AI110))
) / 1000</f>
        <v>0</v>
      </c>
      <c r="CP110" s="46">
        <f t="shared" si="80"/>
        <v>0</v>
      </c>
      <c r="CQ110" s="20"/>
    </row>
    <row r="111" spans="1:95" s="95" customFormat="1" ht="14.25" customHeight="1" x14ac:dyDescent="0.2">
      <c r="A111" s="36" t="b">
        <f t="shared" si="44"/>
        <v>0</v>
      </c>
      <c r="B111" s="94">
        <v>100</v>
      </c>
      <c r="C111" s="7"/>
      <c r="D111" s="7"/>
      <c r="E111" s="33"/>
      <c r="F111" s="8" t="str">
        <f>IF(ISBLANK(E111), "", VLOOKUP(E111, Z!$A$2:$C$4127, 3, FALSE))</f>
        <v/>
      </c>
      <c r="G111" s="44"/>
      <c r="H111" s="44"/>
      <c r="I111" s="107"/>
      <c r="J111" s="108"/>
      <c r="K111" s="34"/>
      <c r="L111" s="59"/>
      <c r="M111" s="58" t="str" cm="1">
        <f t="array" ref="M111">IF($K111&gt;0, INDEX(Clean,1+AG111,$B$1), "")</f>
        <v/>
      </c>
      <c r="N111" s="62"/>
      <c r="O111" s="62"/>
      <c r="P111" s="63"/>
      <c r="Q111" s="52">
        <f t="shared" si="50"/>
        <v>0</v>
      </c>
      <c r="R111" s="58" t="str" cm="1">
        <f t="array" ref="R111">IF($K111&gt;0, INDEX(Clean,1+AH111,$B$1), "")</f>
        <v/>
      </c>
      <c r="S111" s="62"/>
      <c r="T111" s="62"/>
      <c r="U111" s="63"/>
      <c r="V111" s="52">
        <f t="shared" si="51"/>
        <v>0</v>
      </c>
      <c r="W111" s="6"/>
      <c r="X111" s="7"/>
      <c r="Y111" s="33"/>
      <c r="Z111" s="8" t="str">
        <f>IF(ISBLANK(Y111), "", VLOOKUP(Y111, Z!$A$2:$C$4127, 3, FALSE))</f>
        <v/>
      </c>
      <c r="AA111" s="38"/>
      <c r="AB111" s="9">
        <f t="shared" si="45"/>
        <v>0</v>
      </c>
      <c r="AC111" s="20"/>
      <c r="AD111" s="41">
        <f t="shared" si="46"/>
        <v>1</v>
      </c>
      <c r="AE111" s="41">
        <f t="shared" si="47"/>
        <v>1</v>
      </c>
      <c r="AF111" s="41">
        <f t="shared" si="48"/>
        <v>0</v>
      </c>
      <c r="AG111" s="41">
        <v>1</v>
      </c>
      <c r="AH111" s="41">
        <v>0</v>
      </c>
      <c r="AI111" s="41">
        <f t="shared" si="49"/>
        <v>-100</v>
      </c>
      <c r="AJ111" s="20"/>
      <c r="AK111" s="45"/>
      <c r="AL111" s="45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20"/>
      <c r="AY111" s="41" cm="1">
        <f t="array" ref="AY111">INDEX(Use, $AD111, 4)</f>
        <v>7</v>
      </c>
      <c r="AZ111" s="41">
        <f t="shared" si="52"/>
        <v>32</v>
      </c>
      <c r="BA111" s="41">
        <f t="shared" si="53"/>
        <v>13</v>
      </c>
      <c r="BB111" s="41">
        <f t="shared" si="54"/>
        <v>0</v>
      </c>
      <c r="BC111" s="57" cm="1">
        <f t="array" ref="BC111">K111/IF($L111&gt;0, INDEX($AO$12:$AU$66, $L111+20, $AD111), 1)</f>
        <v>0</v>
      </c>
      <c r="BD111" s="46">
        <f t="shared" si="55"/>
        <v>0</v>
      </c>
      <c r="BE111" s="41">
        <v>35</v>
      </c>
      <c r="BF111" s="46">
        <f t="shared" si="56"/>
        <v>52.55</v>
      </c>
      <c r="BG111" s="49">
        <f t="shared" si="57"/>
        <v>2.7676728869374316</v>
      </c>
      <c r="BH111" s="49" cm="1">
        <f t="array" ref="BH111">$BC111 * SUMPRODUCT(INDEX($AL$66:$AN$71,,$AE111),INDEX($AO$66:$AU$71,,$AD111), N($AK$66:$AK$71&gt;$AI111)) / BG111 / 1000</f>
        <v>0</v>
      </c>
      <c r="BI111" s="50">
        <f t="shared" si="58"/>
        <v>30</v>
      </c>
      <c r="BJ111" s="46">
        <f t="shared" si="59"/>
        <v>46.033333333333331</v>
      </c>
      <c r="BK111" s="49">
        <f t="shared" si="60"/>
        <v>3.2297395388556791</v>
      </c>
      <c r="BL111" s="49" cm="1">
        <f t="array" ref="BL111">$BC111 * IF($AD111&lt;=2,
SUMPRODUCT(INDEX($AL$61:$AN$65,,$AE111), INDEX($AO$61:$AU$65,,$AD111), 1 / ($AV$61:$AV$65*BK111 + (1-$AV$61:$AV$65)*BG111), N($AK$61:$AK$65&gt;$AI111)),
SUMPRODUCT(INDEX($AL$56:$AN$65,,$AE111), INDEX($AO$56:$AU$65,,$AD111), 1 / ($AW$56:$AW$65*BK111 + (1-$AW$56:$AW$65)*BG111), N($AK$56:$AK$65&gt;$AI111))
) / 1000</f>
        <v>0</v>
      </c>
      <c r="BM111" s="50">
        <f t="shared" si="61"/>
        <v>25</v>
      </c>
      <c r="BN111" s="46">
        <f t="shared" si="62"/>
        <v>39.516666666666666</v>
      </c>
      <c r="BO111" s="49">
        <f t="shared" si="63"/>
        <v>3.877011788826243</v>
      </c>
      <c r="BP111" s="49" cm="1">
        <f t="array" ref="BP111">$BC111 * IF($AD111&lt;=2,
SUMPRODUCT(INDEX($AL$56:$AN$60,,$AE111), INDEX($AO$56:$AU$60,,$AD111), 1 / ($AV$56:$AV$60*BO111 + (1-$AV$56:$AV$60)*BK111), N($AK$56:$AK$60&gt;$AI111)),
SUMPRODUCT(INDEX($AL$46:$AN$55,,$AE111), INDEX($AO$46:$AU$55,,$AD111), 1 / ($AW$46:$AW$55*BO111 + (1-$AW$46:$AW$55)*BK111), N($AK$46:$AK$55&gt;$AI111))
) / 1000</f>
        <v>0</v>
      </c>
      <c r="BQ111" s="50">
        <f t="shared" si="64"/>
        <v>20</v>
      </c>
      <c r="BR111" s="46">
        <f t="shared" si="65"/>
        <v>33</v>
      </c>
      <c r="BS111" s="49">
        <f t="shared" si="66"/>
        <v>4.8487499999999999</v>
      </c>
      <c r="BT111" s="49" cm="1">
        <f t="array" ref="BT111">$BC111 * IF($AD111&lt;=2,
SUMPRODUCT(INDEX($AL$51:$AN$55,,$AE111), INDEX($AO$51:$AU$55,,$AD111), 1 / ($AV$51:$AV$55*BS111 + (1-$AV$51:$AV$55)*BO111), N($AK$51:$AK$55&gt;$AI111)),
SUMPRODUCT(INDEX($AL$36:$AN$45,,$AE111), INDEX($AO$36:$AU$45,,$AD111), 1 / ($AW$36:$AW$45*BS111 + (1-$AW$36:$AW$45)*BO111), N($AK$36:$AK$45&gt;$AI111))
) / 1000</f>
        <v>0</v>
      </c>
      <c r="BU111" s="49" cm="1">
        <f t="array" ref="BU111">$BC111 * IF($AD111&lt;=2,
SUMPRODUCT(INDEX($AL$12:$AN$50,,$AE111), INDEX($AO$12:$AU$50,,$AD111), 1 / ($AV$12:$AV$50*BS111), N($AK$12:$AK$50&gt;$AI111)),
SUMPRODUCT(INDEX($AL$12:$AN$35,,$AE111), INDEX($AO$12:$AU$35,,$AD111), 1 / ($AW$12:$AW$35*BS111), N($AK$12:$AK$35&gt;$AI111))
) / 1000</f>
        <v>0</v>
      </c>
      <c r="BV111" s="46">
        <f t="shared" si="67"/>
        <v>0</v>
      </c>
      <c r="BW111" s="20"/>
      <c r="BX111" s="46">
        <f t="shared" si="68"/>
        <v>0</v>
      </c>
      <c r="BY111" s="41">
        <v>35</v>
      </c>
      <c r="BZ111" s="46">
        <f t="shared" si="69"/>
        <v>48</v>
      </c>
      <c r="CA111" s="49">
        <f t="shared" si="70"/>
        <v>3.0748170731707316</v>
      </c>
      <c r="CB111" s="49" cm="1">
        <f t="array" ref="CB111">$BC111 * SUMPRODUCT(INDEX($AL$66:$AN$71,,$AE111),INDEX($AO$66:$AU$71,,$AD111), N($AK$66:$AK$71&gt;$AI111)) / CA111 / 1000</f>
        <v>0</v>
      </c>
      <c r="CC111" s="50">
        <f t="shared" si="71"/>
        <v>30</v>
      </c>
      <c r="CD111" s="46">
        <f t="shared" si="72"/>
        <v>43</v>
      </c>
      <c r="CE111" s="49">
        <f t="shared" si="73"/>
        <v>3.5018750000000001</v>
      </c>
      <c r="CF111" s="49" cm="1">
        <f t="array" ref="CF111">$BC111 * IF($AD111&lt;=2,
SUMPRODUCT(INDEX($AL$61:$AN$65,,$AE111), INDEX($AO$61:$AU$65,,$AD111), 1 / ($AV$61:$AV$65*CE111 + (1-$AV$61:$AV$65)*CA111), N($AK$61:$AK$65&gt;$AI111)),
SUMPRODUCT(INDEX($AL$56:$AN$65,,$AE111), INDEX($AO$56:$AU$65,,$AD111), 1 / ($AW$56:$AW$65*CE111 + (1-$AW$56:$AW$65)*CA111), N($AK$56:$AK$65&gt;$AI111))
) / 1000</f>
        <v>0</v>
      </c>
      <c r="CG111" s="50">
        <f t="shared" si="74"/>
        <v>25</v>
      </c>
      <c r="CH111" s="46">
        <f t="shared" si="75"/>
        <v>38</v>
      </c>
      <c r="CI111" s="49">
        <f t="shared" si="76"/>
        <v>4.0666935483870965</v>
      </c>
      <c r="CJ111" s="49" cm="1">
        <f t="array" ref="CJ111">$BC111 * IF($AD111&lt;=2,
SUMPRODUCT(INDEX($AL$56:$AN$60,,$AE111), INDEX($AO$56:$AU$60,,$AD111), 1 / ($AV$56:$AV$60*CI111 + (1-$AV$56:$AV$60)*CE111), N($AK$56:$AK$60&gt;$AI111)),
SUMPRODUCT(INDEX($AL$46:$AN$55,,$AE111), INDEX($AO$46:$AU$55,,$AD111), 1 / ($AW$46:$AW$55*CI111 + (1-$AW$46:$AW$55)*CE111), N($AK$46:$AK$55&gt;$AI111))
) / 1000</f>
        <v>0</v>
      </c>
      <c r="CK111" s="50">
        <f t="shared" si="77"/>
        <v>20</v>
      </c>
      <c r="CL111" s="46">
        <f t="shared" si="78"/>
        <v>33</v>
      </c>
      <c r="CM111" s="49">
        <f t="shared" si="79"/>
        <v>4.8487499999999999</v>
      </c>
      <c r="CN111" s="49" cm="1">
        <f t="array" ref="CN111">$BC111 * IF($AD111&lt;=2,
SUMPRODUCT(INDEX($AL$51:$AN$55,,$AE111), INDEX($AO$51:$AU$55,,$AD111), 1 / ($AV$51:$AV$55*CM111 + (1-$AV$51:$AV$55)*CI111), N($AK$51:$AK$55&gt;$AI111)),
SUMPRODUCT(INDEX($AL$36:$AN$45,,$AE111), INDEX($AO$36:$AU$45,,$AD111), 1 / ($AW$36:$AW$45*CM111 + (1-$AW$36:$AW$45)*CI111), N($AK$36:$AK$45&gt;$AI111))
) / 1000</f>
        <v>0</v>
      </c>
      <c r="CO111" s="49" cm="1">
        <f t="array" ref="CO111">$BC111 * IF($AD111&lt;=2,
SUMPRODUCT(INDEX($AL$12:$AN$50,,$AE111), INDEX($AO$12:$AU$50,,$AD111), 1 / ($AV$12:$AV$50*CM111), N($AK$12:$AK$50&gt;$AI111)),
SUMPRODUCT(INDEX($AL$12:$AN$35,,$AE111), INDEX($AO$12:$AU$35,,$AD111), 1 / ($AW$12:$AW$35*CM111), N($AK$12:$AK$35&gt;$AI111))
) / 1000</f>
        <v>0</v>
      </c>
      <c r="CP111" s="46">
        <f t="shared" si="80"/>
        <v>0</v>
      </c>
      <c r="CQ111" s="20"/>
    </row>
    <row r="112" spans="1:95" ht="35.1" customHeight="1" x14ac:dyDescent="0.2">
      <c r="A112" s="20"/>
      <c r="B112" s="96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97" t="str" cm="1">
        <f t="array" ref="AA112">INDEX(Trad, 6, $B$1)</f>
        <v>Gesamt</v>
      </c>
      <c r="AB112" s="98">
        <f>SUM(AB12:AB111)</f>
        <v>2.0155129336521265</v>
      </c>
      <c r="AC112" s="20"/>
      <c r="AJ112" s="20"/>
      <c r="AK112" s="45"/>
      <c r="AL112" s="45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20"/>
      <c r="BV112" s="47"/>
      <c r="BW112" s="20"/>
      <c r="CP112" s="47"/>
      <c r="CQ112" s="20"/>
    </row>
    <row r="113" spans="1:95" x14ac:dyDescent="0.2">
      <c r="A113" s="20"/>
      <c r="C113" s="20"/>
      <c r="D113" s="20"/>
      <c r="E113" s="102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102"/>
      <c r="Z113" s="20"/>
      <c r="AA113" s="102"/>
      <c r="AB113" s="20"/>
      <c r="AC113" s="20"/>
      <c r="AJ113" s="20"/>
      <c r="AK113" s="45"/>
      <c r="AL113" s="45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20"/>
      <c r="BV113" s="47"/>
      <c r="BW113" s="20"/>
      <c r="CP113" s="47"/>
      <c r="CQ113" s="20"/>
    </row>
    <row r="114" spans="1:95" x14ac:dyDescent="0.2">
      <c r="A114" s="20"/>
      <c r="C114" s="20"/>
      <c r="D114" s="20"/>
      <c r="E114" s="102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102"/>
      <c r="Z114" s="20"/>
      <c r="AA114" s="102"/>
      <c r="AB114" s="20"/>
      <c r="AC114" s="20"/>
      <c r="AJ114" s="20"/>
      <c r="AK114" s="45"/>
      <c r="AL114" s="45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20"/>
      <c r="BV114" s="47"/>
      <c r="BW114" s="20"/>
      <c r="CP114" s="47"/>
      <c r="CQ114" s="20"/>
    </row>
    <row r="115" spans="1:95" x14ac:dyDescent="0.2">
      <c r="A115" s="20"/>
      <c r="C115" s="20"/>
      <c r="D115" s="20"/>
      <c r="E115" s="102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102"/>
      <c r="Z115" s="20"/>
      <c r="AA115" s="102"/>
      <c r="AB115" s="20"/>
      <c r="AC115" s="20"/>
      <c r="AJ115" s="20"/>
      <c r="AK115" s="45"/>
      <c r="AL115" s="45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20"/>
      <c r="BV115" s="47"/>
      <c r="BW115" s="20"/>
      <c r="CP115" s="47"/>
      <c r="CQ115" s="20"/>
    </row>
    <row r="116" spans="1:95" x14ac:dyDescent="0.2">
      <c r="A116" s="20"/>
      <c r="C116" s="20"/>
      <c r="D116" s="20"/>
      <c r="E116" s="102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102"/>
      <c r="Z116" s="20"/>
      <c r="AA116" s="102"/>
      <c r="AB116" s="20"/>
      <c r="AC116" s="20"/>
      <c r="AJ116" s="20"/>
      <c r="AK116" s="45"/>
      <c r="AL116" s="45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20"/>
      <c r="BV116" s="47"/>
      <c r="BW116" s="20"/>
      <c r="CP116" s="47"/>
      <c r="CQ116" s="20"/>
    </row>
    <row r="117" spans="1:95" x14ac:dyDescent="0.2">
      <c r="A117" s="20"/>
      <c r="C117" s="20"/>
      <c r="D117" s="20"/>
      <c r="E117" s="102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102"/>
      <c r="Z117" s="20"/>
      <c r="AA117" s="102"/>
      <c r="AB117" s="20"/>
      <c r="AC117" s="20"/>
      <c r="AJ117" s="20"/>
      <c r="AK117" s="45"/>
      <c r="AL117" s="45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20"/>
      <c r="BV117" s="47"/>
      <c r="BW117" s="20"/>
      <c r="CP117" s="47"/>
      <c r="CQ117" s="20"/>
    </row>
    <row r="118" spans="1:95" x14ac:dyDescent="0.2">
      <c r="A118" s="20"/>
      <c r="C118" s="20"/>
      <c r="D118" s="20"/>
      <c r="E118" s="102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102"/>
      <c r="Z118" s="20"/>
      <c r="AA118" s="102"/>
      <c r="AB118" s="20"/>
      <c r="AC118" s="20"/>
      <c r="AJ118" s="20"/>
      <c r="AK118" s="45"/>
      <c r="AL118" s="45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20"/>
      <c r="BV118" s="47"/>
      <c r="BW118" s="20"/>
      <c r="CP118" s="47"/>
      <c r="CQ118" s="20"/>
    </row>
    <row r="119" spans="1:95" x14ac:dyDescent="0.2">
      <c r="A119" s="20"/>
      <c r="C119" s="20"/>
      <c r="D119" s="20"/>
      <c r="E119" s="102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102"/>
      <c r="Z119" s="20"/>
      <c r="AA119" s="102"/>
      <c r="AB119" s="20"/>
      <c r="AC119" s="20"/>
      <c r="AJ119" s="20"/>
      <c r="AK119" s="45"/>
      <c r="AL119" s="45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20"/>
      <c r="BV119" s="47"/>
      <c r="BW119" s="20"/>
      <c r="CP119" s="47"/>
      <c r="CQ119" s="20"/>
    </row>
    <row r="120" spans="1:95" x14ac:dyDescent="0.2">
      <c r="A120" s="20"/>
      <c r="C120" s="20"/>
      <c r="D120" s="20"/>
      <c r="E120" s="102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102"/>
      <c r="Z120" s="20"/>
      <c r="AA120" s="102"/>
      <c r="AB120" s="20"/>
      <c r="AC120" s="20"/>
      <c r="AJ120" s="20"/>
      <c r="AK120" s="45"/>
      <c r="AL120" s="45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20"/>
      <c r="BV120" s="47"/>
      <c r="BW120" s="20"/>
      <c r="CP120" s="47"/>
      <c r="CQ120" s="20"/>
    </row>
    <row r="121" spans="1:95" x14ac:dyDescent="0.2">
      <c r="A121" s="20"/>
      <c r="C121" s="20"/>
      <c r="D121" s="20"/>
      <c r="E121" s="102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102"/>
      <c r="Z121" s="20"/>
      <c r="AA121" s="102"/>
      <c r="AB121" s="20"/>
      <c r="AC121" s="20"/>
      <c r="AJ121" s="20"/>
      <c r="AK121" s="45"/>
      <c r="AL121" s="45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20"/>
      <c r="BV121" s="47"/>
      <c r="BW121" s="20"/>
      <c r="CP121" s="47"/>
      <c r="CQ121" s="20"/>
    </row>
    <row r="122" spans="1:95" x14ac:dyDescent="0.2">
      <c r="A122" s="20"/>
      <c r="C122" s="20"/>
      <c r="D122" s="20"/>
      <c r="E122" s="102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102"/>
      <c r="Z122" s="20"/>
      <c r="AA122" s="102"/>
      <c r="AB122" s="20"/>
      <c r="AC122" s="20"/>
      <c r="AJ122" s="20"/>
      <c r="AK122" s="45"/>
      <c r="AL122" s="45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20"/>
      <c r="BV122" s="47"/>
      <c r="BW122" s="20"/>
      <c r="CP122" s="47"/>
      <c r="CQ122" s="20"/>
    </row>
    <row r="123" spans="1:95" x14ac:dyDescent="0.2">
      <c r="A123" s="20"/>
      <c r="C123" s="20"/>
      <c r="D123" s="20"/>
      <c r="E123" s="102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102"/>
      <c r="Z123" s="20"/>
      <c r="AA123" s="102"/>
      <c r="AB123" s="20"/>
      <c r="AC123" s="20"/>
      <c r="AJ123" s="20"/>
      <c r="AK123" s="45"/>
      <c r="AL123" s="45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20"/>
      <c r="BV123" s="47"/>
      <c r="BW123" s="20"/>
      <c r="CP123" s="47"/>
      <c r="CQ123" s="20"/>
    </row>
    <row r="124" spans="1:95" x14ac:dyDescent="0.2">
      <c r="A124" s="20"/>
      <c r="C124" s="20"/>
      <c r="D124" s="20"/>
      <c r="E124" s="102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102"/>
      <c r="Z124" s="20"/>
      <c r="AA124" s="102"/>
      <c r="AB124" s="20"/>
      <c r="AC124" s="20"/>
      <c r="AJ124" s="20"/>
      <c r="AK124" s="45"/>
      <c r="AL124" s="45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20"/>
      <c r="BV124" s="47"/>
      <c r="BW124" s="20"/>
      <c r="CP124" s="47"/>
      <c r="CQ124" s="20"/>
    </row>
    <row r="125" spans="1:95" x14ac:dyDescent="0.2">
      <c r="A125" s="20"/>
      <c r="C125" s="20"/>
      <c r="D125" s="20"/>
      <c r="E125" s="102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102"/>
      <c r="Z125" s="20"/>
      <c r="AA125" s="102"/>
      <c r="AB125" s="20"/>
      <c r="AC125" s="20"/>
      <c r="AJ125" s="20"/>
      <c r="AK125" s="45"/>
      <c r="AL125" s="45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20"/>
      <c r="BV125" s="47"/>
      <c r="BW125" s="20"/>
      <c r="CP125" s="47"/>
      <c r="CQ125" s="20"/>
    </row>
    <row r="126" spans="1:95" x14ac:dyDescent="0.2">
      <c r="A126" s="20"/>
      <c r="C126" s="20"/>
      <c r="D126" s="20"/>
      <c r="E126" s="102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102"/>
      <c r="Z126" s="20"/>
      <c r="AA126" s="102"/>
      <c r="AB126" s="20"/>
      <c r="AC126" s="20"/>
      <c r="AJ126" s="20"/>
      <c r="AK126" s="45"/>
      <c r="AL126" s="45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20"/>
      <c r="BV126" s="47"/>
      <c r="BW126" s="20"/>
      <c r="CP126" s="47"/>
      <c r="CQ126" s="20"/>
    </row>
    <row r="127" spans="1:95" x14ac:dyDescent="0.2">
      <c r="A127" s="20"/>
      <c r="C127" s="20"/>
      <c r="D127" s="20"/>
      <c r="E127" s="102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102"/>
      <c r="Z127" s="20"/>
      <c r="AA127" s="102"/>
      <c r="AB127" s="20"/>
      <c r="AC127" s="20"/>
      <c r="AJ127" s="20"/>
      <c r="AK127" s="45"/>
      <c r="AL127" s="45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20"/>
      <c r="BV127" s="47"/>
      <c r="BW127" s="20"/>
      <c r="CP127" s="47"/>
      <c r="CQ127" s="20"/>
    </row>
    <row r="128" spans="1:95" x14ac:dyDescent="0.2">
      <c r="A128" s="20"/>
      <c r="C128" s="20"/>
      <c r="D128" s="20"/>
      <c r="E128" s="102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102"/>
      <c r="Z128" s="20"/>
      <c r="AA128" s="102"/>
      <c r="AB128" s="20"/>
      <c r="AC128" s="20"/>
      <c r="AJ128" s="20"/>
      <c r="AK128" s="45"/>
      <c r="AL128" s="45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20"/>
      <c r="BV128" s="47"/>
      <c r="BW128" s="20"/>
      <c r="CP128" s="47"/>
      <c r="CQ128" s="20"/>
    </row>
    <row r="129" spans="1:95" x14ac:dyDescent="0.2">
      <c r="A129" s="20"/>
      <c r="C129" s="20"/>
      <c r="D129" s="20"/>
      <c r="E129" s="102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102"/>
      <c r="Z129" s="20"/>
      <c r="AA129" s="102"/>
      <c r="AB129" s="20"/>
      <c r="AC129" s="20"/>
      <c r="AJ129" s="20"/>
      <c r="AK129" s="45"/>
      <c r="AL129" s="45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20"/>
      <c r="BV129" s="47"/>
      <c r="BW129" s="20"/>
      <c r="CP129" s="47"/>
      <c r="CQ129" s="20"/>
    </row>
    <row r="130" spans="1:95" s="95" customFormat="1" x14ac:dyDescent="0.2">
      <c r="A130" s="10"/>
      <c r="B130" s="101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1"/>
      <c r="AB130" s="10"/>
      <c r="AC130" s="10"/>
      <c r="AD130" s="99"/>
      <c r="AE130" s="99"/>
      <c r="AF130" s="99"/>
      <c r="AG130" s="99"/>
      <c r="AH130" s="99"/>
      <c r="AI130" s="99"/>
      <c r="AJ130" s="20"/>
      <c r="AK130" s="45"/>
      <c r="AL130" s="45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10"/>
      <c r="AY130" s="99"/>
      <c r="AZ130" s="99"/>
      <c r="BA130" s="99"/>
      <c r="BB130" s="99"/>
      <c r="BC130" s="99"/>
      <c r="BD130" s="99"/>
      <c r="BE130" s="99"/>
      <c r="BF130" s="100"/>
      <c r="BG130" s="99"/>
      <c r="BH130" s="99"/>
      <c r="BI130" s="99"/>
      <c r="BJ130" s="100"/>
      <c r="BK130" s="99"/>
      <c r="BL130" s="99"/>
      <c r="BM130" s="99"/>
      <c r="BN130" s="100"/>
      <c r="BO130" s="99"/>
      <c r="BP130" s="99"/>
      <c r="BQ130" s="99"/>
      <c r="BR130" s="100"/>
      <c r="BS130" s="99"/>
      <c r="BT130" s="99"/>
      <c r="BU130" s="99"/>
      <c r="BV130" s="47"/>
      <c r="BW130" s="10"/>
      <c r="BX130" s="99"/>
      <c r="BY130" s="99"/>
      <c r="BZ130" s="100"/>
      <c r="CA130" s="99"/>
      <c r="CB130" s="99"/>
      <c r="CC130" s="99"/>
      <c r="CD130" s="100"/>
      <c r="CE130" s="99"/>
      <c r="CF130" s="99"/>
      <c r="CG130" s="99"/>
      <c r="CH130" s="100"/>
      <c r="CI130" s="99"/>
      <c r="CJ130" s="99"/>
      <c r="CK130" s="99"/>
      <c r="CL130" s="100"/>
      <c r="CM130" s="99"/>
      <c r="CN130" s="99"/>
      <c r="CO130" s="99"/>
      <c r="CP130" s="47"/>
      <c r="CQ130" s="10"/>
    </row>
    <row r="131" spans="1:95" s="95" customFormat="1" x14ac:dyDescent="0.2">
      <c r="A131" s="10"/>
      <c r="B131" s="101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1"/>
      <c r="AB131" s="10"/>
      <c r="AC131" s="10"/>
      <c r="AD131" s="99"/>
      <c r="AE131" s="99"/>
      <c r="AF131" s="99"/>
      <c r="AG131" s="99"/>
      <c r="AH131" s="99"/>
      <c r="AI131" s="99"/>
      <c r="AJ131" s="20"/>
      <c r="AK131" s="45"/>
      <c r="AL131" s="45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10"/>
      <c r="AY131" s="99"/>
      <c r="AZ131" s="99"/>
      <c r="BA131" s="99"/>
      <c r="BB131" s="99"/>
      <c r="BC131" s="99"/>
      <c r="BD131" s="99"/>
      <c r="BE131" s="99"/>
      <c r="BF131" s="100"/>
      <c r="BG131" s="99"/>
      <c r="BH131" s="99"/>
      <c r="BI131" s="99"/>
      <c r="BJ131" s="100"/>
      <c r="BK131" s="99"/>
      <c r="BL131" s="99"/>
      <c r="BM131" s="99"/>
      <c r="BN131" s="100"/>
      <c r="BO131" s="99"/>
      <c r="BP131" s="99"/>
      <c r="BQ131" s="99"/>
      <c r="BR131" s="100"/>
      <c r="BS131" s="99"/>
      <c r="BT131" s="99"/>
      <c r="BU131" s="99"/>
      <c r="BV131" s="47"/>
      <c r="BW131" s="10"/>
      <c r="BX131" s="99"/>
      <c r="BY131" s="99"/>
      <c r="BZ131" s="100"/>
      <c r="CA131" s="99"/>
      <c r="CB131" s="99"/>
      <c r="CC131" s="99"/>
      <c r="CD131" s="100"/>
      <c r="CE131" s="99"/>
      <c r="CF131" s="99"/>
      <c r="CG131" s="99"/>
      <c r="CH131" s="100"/>
      <c r="CI131" s="99"/>
      <c r="CJ131" s="99"/>
      <c r="CK131" s="99"/>
      <c r="CL131" s="100"/>
      <c r="CM131" s="99"/>
      <c r="CN131" s="99"/>
      <c r="CO131" s="99"/>
      <c r="CP131" s="47"/>
      <c r="CQ131" s="10"/>
    </row>
    <row r="132" spans="1:95" s="95" customFormat="1" x14ac:dyDescent="0.2">
      <c r="A132" s="10"/>
      <c r="B132" s="101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1"/>
      <c r="AB132" s="10"/>
      <c r="AC132" s="10"/>
      <c r="AD132" s="99"/>
      <c r="AE132" s="99"/>
      <c r="AF132" s="99"/>
      <c r="AG132" s="99"/>
      <c r="AH132" s="99"/>
      <c r="AI132" s="99"/>
      <c r="AJ132" s="20"/>
      <c r="AK132" s="45"/>
      <c r="AL132" s="45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10"/>
      <c r="AY132" s="99"/>
      <c r="AZ132" s="99"/>
      <c r="BA132" s="99"/>
      <c r="BB132" s="99"/>
      <c r="BC132" s="99"/>
      <c r="BD132" s="99"/>
      <c r="BE132" s="99"/>
      <c r="BF132" s="100"/>
      <c r="BG132" s="99"/>
      <c r="BH132" s="99"/>
      <c r="BI132" s="99"/>
      <c r="BJ132" s="100"/>
      <c r="BK132" s="99"/>
      <c r="BL132" s="99"/>
      <c r="BM132" s="99"/>
      <c r="BN132" s="100"/>
      <c r="BO132" s="99"/>
      <c r="BP132" s="99"/>
      <c r="BQ132" s="99"/>
      <c r="BR132" s="100"/>
      <c r="BS132" s="99"/>
      <c r="BT132" s="99"/>
      <c r="BU132" s="99"/>
      <c r="BV132" s="47"/>
      <c r="BW132" s="10"/>
      <c r="BX132" s="99"/>
      <c r="BY132" s="99"/>
      <c r="BZ132" s="100"/>
      <c r="CA132" s="99"/>
      <c r="CB132" s="99"/>
      <c r="CC132" s="99"/>
      <c r="CD132" s="100"/>
      <c r="CE132" s="99"/>
      <c r="CF132" s="99"/>
      <c r="CG132" s="99"/>
      <c r="CH132" s="100"/>
      <c r="CI132" s="99"/>
      <c r="CJ132" s="99"/>
      <c r="CK132" s="99"/>
      <c r="CL132" s="100"/>
      <c r="CM132" s="99"/>
      <c r="CN132" s="99"/>
      <c r="CO132" s="99"/>
      <c r="CP132" s="47"/>
      <c r="CQ132" s="10"/>
    </row>
    <row r="133" spans="1:95" s="95" customFormat="1" x14ac:dyDescent="0.2">
      <c r="A133" s="10"/>
      <c r="B133" s="101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1"/>
      <c r="AB133" s="10"/>
      <c r="AC133" s="10"/>
      <c r="AD133" s="99"/>
      <c r="AE133" s="99"/>
      <c r="AF133" s="99"/>
      <c r="AG133" s="99"/>
      <c r="AH133" s="99"/>
      <c r="AI133" s="99"/>
      <c r="AJ133" s="20"/>
      <c r="AK133" s="45"/>
      <c r="AL133" s="45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10"/>
      <c r="AY133" s="99"/>
      <c r="AZ133" s="99"/>
      <c r="BA133" s="99"/>
      <c r="BB133" s="99"/>
      <c r="BC133" s="99"/>
      <c r="BD133" s="99"/>
      <c r="BE133" s="99"/>
      <c r="BF133" s="100"/>
      <c r="BG133" s="99"/>
      <c r="BH133" s="99"/>
      <c r="BI133" s="99"/>
      <c r="BJ133" s="100"/>
      <c r="BK133" s="99"/>
      <c r="BL133" s="99"/>
      <c r="BM133" s="99"/>
      <c r="BN133" s="100"/>
      <c r="BO133" s="99"/>
      <c r="BP133" s="99"/>
      <c r="BQ133" s="99"/>
      <c r="BR133" s="100"/>
      <c r="BS133" s="99"/>
      <c r="BT133" s="99"/>
      <c r="BU133" s="99"/>
      <c r="BV133" s="47"/>
      <c r="BW133" s="10"/>
      <c r="BX133" s="99"/>
      <c r="BY133" s="99"/>
      <c r="BZ133" s="100"/>
      <c r="CA133" s="99"/>
      <c r="CB133" s="99"/>
      <c r="CC133" s="99"/>
      <c r="CD133" s="100"/>
      <c r="CE133" s="99"/>
      <c r="CF133" s="99"/>
      <c r="CG133" s="99"/>
      <c r="CH133" s="100"/>
      <c r="CI133" s="99"/>
      <c r="CJ133" s="99"/>
      <c r="CK133" s="99"/>
      <c r="CL133" s="100"/>
      <c r="CM133" s="99"/>
      <c r="CN133" s="99"/>
      <c r="CO133" s="99"/>
      <c r="CP133" s="47"/>
      <c r="CQ133" s="10"/>
    </row>
    <row r="134" spans="1:95" s="95" customFormat="1" x14ac:dyDescent="0.2">
      <c r="A134" s="10"/>
      <c r="B134" s="101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1"/>
      <c r="AB134" s="10"/>
      <c r="AC134" s="10"/>
      <c r="AD134" s="99"/>
      <c r="AE134" s="99"/>
      <c r="AF134" s="99"/>
      <c r="AG134" s="99"/>
      <c r="AH134" s="99"/>
      <c r="AI134" s="99"/>
      <c r="AJ134" s="20"/>
      <c r="AK134" s="45"/>
      <c r="AL134" s="45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10"/>
      <c r="AY134" s="99"/>
      <c r="AZ134" s="99"/>
      <c r="BA134" s="99"/>
      <c r="BB134" s="99"/>
      <c r="BC134" s="99"/>
      <c r="BD134" s="99"/>
      <c r="BE134" s="99"/>
      <c r="BF134" s="100"/>
      <c r="BG134" s="99"/>
      <c r="BH134" s="99"/>
      <c r="BI134" s="99"/>
      <c r="BJ134" s="100"/>
      <c r="BK134" s="99"/>
      <c r="BL134" s="99"/>
      <c r="BM134" s="99"/>
      <c r="BN134" s="100"/>
      <c r="BO134" s="99"/>
      <c r="BP134" s="99"/>
      <c r="BQ134" s="99"/>
      <c r="BR134" s="100"/>
      <c r="BS134" s="99"/>
      <c r="BT134" s="99"/>
      <c r="BU134" s="99"/>
      <c r="BV134" s="47"/>
      <c r="BW134" s="10"/>
      <c r="BX134" s="99"/>
      <c r="BY134" s="99"/>
      <c r="BZ134" s="100"/>
      <c r="CA134" s="99"/>
      <c r="CB134" s="99"/>
      <c r="CC134" s="99"/>
      <c r="CD134" s="100"/>
      <c r="CE134" s="99"/>
      <c r="CF134" s="99"/>
      <c r="CG134" s="99"/>
      <c r="CH134" s="100"/>
      <c r="CI134" s="99"/>
      <c r="CJ134" s="99"/>
      <c r="CK134" s="99"/>
      <c r="CL134" s="100"/>
      <c r="CM134" s="99"/>
      <c r="CN134" s="99"/>
      <c r="CO134" s="99"/>
      <c r="CP134" s="47"/>
      <c r="CQ134" s="10"/>
    </row>
    <row r="135" spans="1:95" s="95" customFormat="1" x14ac:dyDescent="0.2">
      <c r="A135" s="10"/>
      <c r="B135" s="101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1"/>
      <c r="AB135" s="10"/>
      <c r="AC135" s="10"/>
      <c r="AD135" s="99"/>
      <c r="AE135" s="99"/>
      <c r="AF135" s="99"/>
      <c r="AG135" s="99"/>
      <c r="AH135" s="99"/>
      <c r="AI135" s="99"/>
      <c r="AJ135" s="20"/>
      <c r="AK135" s="45"/>
      <c r="AL135" s="45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10"/>
      <c r="AY135" s="99"/>
      <c r="AZ135" s="99"/>
      <c r="BA135" s="99"/>
      <c r="BB135" s="99"/>
      <c r="BC135" s="99"/>
      <c r="BD135" s="99"/>
      <c r="BE135" s="99"/>
      <c r="BF135" s="100"/>
      <c r="BG135" s="99"/>
      <c r="BH135" s="99"/>
      <c r="BI135" s="99"/>
      <c r="BJ135" s="100"/>
      <c r="BK135" s="99"/>
      <c r="BL135" s="99"/>
      <c r="BM135" s="99"/>
      <c r="BN135" s="100"/>
      <c r="BO135" s="99"/>
      <c r="BP135" s="99"/>
      <c r="BQ135" s="99"/>
      <c r="BR135" s="100"/>
      <c r="BS135" s="99"/>
      <c r="BT135" s="99"/>
      <c r="BU135" s="99"/>
      <c r="BV135" s="47"/>
      <c r="BW135" s="10"/>
      <c r="BX135" s="99"/>
      <c r="BY135" s="99"/>
      <c r="BZ135" s="100"/>
      <c r="CA135" s="99"/>
      <c r="CB135" s="99"/>
      <c r="CC135" s="99"/>
      <c r="CD135" s="100"/>
      <c r="CE135" s="99"/>
      <c r="CF135" s="99"/>
      <c r="CG135" s="99"/>
      <c r="CH135" s="100"/>
      <c r="CI135" s="99"/>
      <c r="CJ135" s="99"/>
      <c r="CK135" s="99"/>
      <c r="CL135" s="100"/>
      <c r="CM135" s="99"/>
      <c r="CN135" s="99"/>
      <c r="CO135" s="99"/>
      <c r="CP135" s="47"/>
      <c r="CQ135" s="10"/>
    </row>
    <row r="136" spans="1:95" s="95" customFormat="1" x14ac:dyDescent="0.2">
      <c r="A136" s="10"/>
      <c r="B136" s="101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1"/>
      <c r="AB136" s="10"/>
      <c r="AC136" s="10"/>
      <c r="AD136" s="99"/>
      <c r="AE136" s="99"/>
      <c r="AF136" s="99"/>
      <c r="AG136" s="99"/>
      <c r="AH136" s="99"/>
      <c r="AI136" s="99"/>
      <c r="AJ136" s="20"/>
      <c r="AK136" s="45"/>
      <c r="AL136" s="45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10"/>
      <c r="AY136" s="99"/>
      <c r="AZ136" s="99"/>
      <c r="BA136" s="99"/>
      <c r="BB136" s="99"/>
      <c r="BC136" s="99"/>
      <c r="BD136" s="99"/>
      <c r="BE136" s="99"/>
      <c r="BF136" s="100"/>
      <c r="BG136" s="99"/>
      <c r="BH136" s="99"/>
      <c r="BI136" s="99"/>
      <c r="BJ136" s="100"/>
      <c r="BK136" s="99"/>
      <c r="BL136" s="99"/>
      <c r="BM136" s="99"/>
      <c r="BN136" s="100"/>
      <c r="BO136" s="99"/>
      <c r="BP136" s="99"/>
      <c r="BQ136" s="99"/>
      <c r="BR136" s="100"/>
      <c r="BS136" s="99"/>
      <c r="BT136" s="99"/>
      <c r="BU136" s="99"/>
      <c r="BV136" s="47"/>
      <c r="BW136" s="10"/>
      <c r="BX136" s="99"/>
      <c r="BY136" s="99"/>
      <c r="BZ136" s="100"/>
      <c r="CA136" s="99"/>
      <c r="CB136" s="99"/>
      <c r="CC136" s="99"/>
      <c r="CD136" s="100"/>
      <c r="CE136" s="99"/>
      <c r="CF136" s="99"/>
      <c r="CG136" s="99"/>
      <c r="CH136" s="100"/>
      <c r="CI136" s="99"/>
      <c r="CJ136" s="99"/>
      <c r="CK136" s="99"/>
      <c r="CL136" s="100"/>
      <c r="CM136" s="99"/>
      <c r="CN136" s="99"/>
      <c r="CO136" s="99"/>
      <c r="CP136" s="47"/>
      <c r="CQ136" s="10"/>
    </row>
    <row r="137" spans="1:95" s="95" customFormat="1" x14ac:dyDescent="0.2">
      <c r="A137" s="10"/>
      <c r="B137" s="101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1"/>
      <c r="AB137" s="10"/>
      <c r="AC137" s="10"/>
      <c r="AD137" s="99"/>
      <c r="AE137" s="99"/>
      <c r="AF137" s="99"/>
      <c r="AG137" s="99"/>
      <c r="AH137" s="99"/>
      <c r="AI137" s="99"/>
      <c r="AJ137" s="20"/>
      <c r="AK137" s="45"/>
      <c r="AL137" s="45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10"/>
      <c r="AY137" s="99"/>
      <c r="AZ137" s="99"/>
      <c r="BA137" s="99"/>
      <c r="BB137" s="99"/>
      <c r="BC137" s="99"/>
      <c r="BD137" s="99"/>
      <c r="BE137" s="99"/>
      <c r="BF137" s="100"/>
      <c r="BG137" s="99"/>
      <c r="BH137" s="99"/>
      <c r="BI137" s="99"/>
      <c r="BJ137" s="100"/>
      <c r="BK137" s="99"/>
      <c r="BL137" s="99"/>
      <c r="BM137" s="99"/>
      <c r="BN137" s="100"/>
      <c r="BO137" s="99"/>
      <c r="BP137" s="99"/>
      <c r="BQ137" s="99"/>
      <c r="BR137" s="100"/>
      <c r="BS137" s="99"/>
      <c r="BT137" s="99"/>
      <c r="BU137" s="99"/>
      <c r="BV137" s="47"/>
      <c r="BW137" s="10"/>
      <c r="BX137" s="99"/>
      <c r="BY137" s="99"/>
      <c r="BZ137" s="100"/>
      <c r="CA137" s="99"/>
      <c r="CB137" s="99"/>
      <c r="CC137" s="99"/>
      <c r="CD137" s="100"/>
      <c r="CE137" s="99"/>
      <c r="CF137" s="99"/>
      <c r="CG137" s="99"/>
      <c r="CH137" s="100"/>
      <c r="CI137" s="99"/>
      <c r="CJ137" s="99"/>
      <c r="CK137" s="99"/>
      <c r="CL137" s="100"/>
      <c r="CM137" s="99"/>
      <c r="CN137" s="99"/>
      <c r="CO137" s="99"/>
      <c r="CP137" s="47"/>
      <c r="CQ137" s="10"/>
    </row>
    <row r="138" spans="1:95" s="95" customFormat="1" x14ac:dyDescent="0.2">
      <c r="A138" s="10"/>
      <c r="B138" s="101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1"/>
      <c r="AB138" s="10"/>
      <c r="AC138" s="10"/>
      <c r="AD138" s="99"/>
      <c r="AE138" s="99"/>
      <c r="AF138" s="99"/>
      <c r="AG138" s="99"/>
      <c r="AH138" s="99"/>
      <c r="AI138" s="99"/>
      <c r="AJ138" s="20"/>
      <c r="AK138" s="45"/>
      <c r="AL138" s="45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10"/>
      <c r="AY138" s="99"/>
      <c r="AZ138" s="99"/>
      <c r="BA138" s="99"/>
      <c r="BB138" s="99"/>
      <c r="BC138" s="99"/>
      <c r="BD138" s="99"/>
      <c r="BE138" s="99"/>
      <c r="BF138" s="100"/>
      <c r="BG138" s="99"/>
      <c r="BH138" s="99"/>
      <c r="BI138" s="99"/>
      <c r="BJ138" s="100"/>
      <c r="BK138" s="99"/>
      <c r="BL138" s="99"/>
      <c r="BM138" s="99"/>
      <c r="BN138" s="100"/>
      <c r="BO138" s="99"/>
      <c r="BP138" s="99"/>
      <c r="BQ138" s="99"/>
      <c r="BR138" s="100"/>
      <c r="BS138" s="99"/>
      <c r="BT138" s="99"/>
      <c r="BU138" s="99"/>
      <c r="BV138" s="47"/>
      <c r="BW138" s="10"/>
      <c r="BX138" s="99"/>
      <c r="BY138" s="99"/>
      <c r="BZ138" s="100"/>
      <c r="CA138" s="99"/>
      <c r="CB138" s="99"/>
      <c r="CC138" s="99"/>
      <c r="CD138" s="100"/>
      <c r="CE138" s="99"/>
      <c r="CF138" s="99"/>
      <c r="CG138" s="99"/>
      <c r="CH138" s="100"/>
      <c r="CI138" s="99"/>
      <c r="CJ138" s="99"/>
      <c r="CK138" s="99"/>
      <c r="CL138" s="100"/>
      <c r="CM138" s="99"/>
      <c r="CN138" s="99"/>
      <c r="CO138" s="99"/>
      <c r="CP138" s="47"/>
      <c r="CQ138" s="10"/>
    </row>
    <row r="139" spans="1:95" x14ac:dyDescent="0.2">
      <c r="AJ139" s="20"/>
      <c r="AK139" s="45"/>
      <c r="AL139" s="45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BV139" s="47"/>
      <c r="CP139" s="47"/>
    </row>
    <row r="140" spans="1:95" x14ac:dyDescent="0.2">
      <c r="AJ140" s="20"/>
      <c r="AK140" s="45"/>
      <c r="AL140" s="45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BV140" s="47"/>
      <c r="CP140" s="47"/>
    </row>
    <row r="141" spans="1:95" x14ac:dyDescent="0.2">
      <c r="AJ141" s="20"/>
      <c r="AK141" s="45"/>
      <c r="AL141" s="45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BV141" s="47"/>
      <c r="CP141" s="47"/>
    </row>
    <row r="142" spans="1:95" x14ac:dyDescent="0.2">
      <c r="AJ142" s="20"/>
      <c r="AK142" s="45"/>
      <c r="AL142" s="45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BV142" s="47"/>
      <c r="CP142" s="47"/>
    </row>
    <row r="143" spans="1:95" x14ac:dyDescent="0.2">
      <c r="AJ143" s="20"/>
      <c r="AK143" s="45"/>
      <c r="AL143" s="45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BV143" s="47"/>
      <c r="CP143" s="47"/>
    </row>
    <row r="144" spans="1:95" x14ac:dyDescent="0.2">
      <c r="AJ144" s="20"/>
      <c r="AK144" s="45"/>
      <c r="AL144" s="45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BV144" s="47"/>
      <c r="CP144" s="47"/>
    </row>
    <row r="145" spans="36:94" x14ac:dyDescent="0.2">
      <c r="AJ145" s="20"/>
      <c r="AK145" s="45"/>
      <c r="AL145" s="45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BV145" s="47"/>
      <c r="CP145" s="47"/>
    </row>
    <row r="146" spans="36:94" x14ac:dyDescent="0.2">
      <c r="AJ146" s="20"/>
      <c r="AK146" s="45"/>
      <c r="AL146" s="45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BV146" s="47"/>
      <c r="CP146" s="47"/>
    </row>
    <row r="147" spans="36:94" x14ac:dyDescent="0.2">
      <c r="AJ147" s="20"/>
      <c r="AK147" s="45"/>
      <c r="AL147" s="45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BV147" s="47"/>
      <c r="CP147" s="47"/>
    </row>
    <row r="148" spans="36:94" x14ac:dyDescent="0.2">
      <c r="AJ148" s="20"/>
      <c r="AK148" s="45"/>
      <c r="AL148" s="45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BV148" s="47"/>
      <c r="CP148" s="47"/>
    </row>
    <row r="149" spans="36:94" x14ac:dyDescent="0.2">
      <c r="AJ149" s="20"/>
      <c r="AK149" s="45"/>
      <c r="AL149" s="45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BV149" s="47"/>
      <c r="CP149" s="47"/>
    </row>
    <row r="150" spans="36:94" x14ac:dyDescent="0.2">
      <c r="AJ150" s="20"/>
      <c r="AK150" s="45"/>
      <c r="AL150" s="45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BV150" s="47"/>
      <c r="CP150" s="47"/>
    </row>
    <row r="151" spans="36:94" x14ac:dyDescent="0.2">
      <c r="AJ151" s="20"/>
      <c r="AK151" s="45"/>
      <c r="AL151" s="45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BV151" s="47"/>
      <c r="CP151" s="47"/>
    </row>
    <row r="152" spans="36:94" x14ac:dyDescent="0.2">
      <c r="AJ152" s="20"/>
      <c r="AK152" s="45"/>
      <c r="AL152" s="45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BV152" s="47"/>
      <c r="CP152" s="47"/>
    </row>
    <row r="153" spans="36:94" x14ac:dyDescent="0.2">
      <c r="AJ153" s="20"/>
      <c r="AK153" s="45"/>
      <c r="AL153" s="45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BV153" s="47"/>
      <c r="CP153" s="47"/>
    </row>
    <row r="154" spans="36:94" x14ac:dyDescent="0.2">
      <c r="AJ154" s="20"/>
      <c r="AK154" s="45"/>
      <c r="AL154" s="45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BV154" s="47"/>
      <c r="CP154" s="47"/>
    </row>
    <row r="155" spans="36:94" x14ac:dyDescent="0.2">
      <c r="AJ155" s="20"/>
      <c r="AK155" s="45"/>
      <c r="AL155" s="45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BV155" s="47"/>
      <c r="CP155" s="47"/>
    </row>
    <row r="156" spans="36:94" x14ac:dyDescent="0.2">
      <c r="AJ156" s="20"/>
      <c r="AK156" s="45"/>
      <c r="AL156" s="45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BV156" s="47"/>
      <c r="CP156" s="47"/>
    </row>
    <row r="157" spans="36:94" x14ac:dyDescent="0.2">
      <c r="AJ157" s="20"/>
      <c r="AK157" s="45"/>
      <c r="AL157" s="45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BV157" s="47"/>
      <c r="CP157" s="47"/>
    </row>
    <row r="158" spans="36:94" x14ac:dyDescent="0.2">
      <c r="AJ158" s="20"/>
      <c r="AK158" s="45"/>
      <c r="AL158" s="45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BV158" s="47"/>
      <c r="CP158" s="47"/>
    </row>
    <row r="159" spans="36:94" x14ac:dyDescent="0.2">
      <c r="AJ159" s="20"/>
      <c r="AK159" s="45"/>
      <c r="AL159" s="45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BV159" s="47"/>
      <c r="CP159" s="47"/>
    </row>
    <row r="160" spans="36:94" x14ac:dyDescent="0.2">
      <c r="AJ160" s="20"/>
      <c r="AK160" s="45"/>
      <c r="AL160" s="45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BV160" s="47"/>
      <c r="CP160" s="47"/>
    </row>
    <row r="161" spans="36:94" x14ac:dyDescent="0.2">
      <c r="AJ161" s="20"/>
      <c r="AK161" s="45"/>
      <c r="AL161" s="45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BV161" s="47"/>
      <c r="CP161" s="47"/>
    </row>
    <row r="162" spans="36:94" x14ac:dyDescent="0.2">
      <c r="AJ162" s="20"/>
      <c r="AK162" s="45"/>
      <c r="AL162" s="45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BV162" s="47"/>
      <c r="CP162" s="47"/>
    </row>
    <row r="163" spans="36:94" x14ac:dyDescent="0.2">
      <c r="AJ163" s="20"/>
      <c r="AK163" s="45"/>
      <c r="AL163" s="45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BV163" s="47"/>
      <c r="CP163" s="47"/>
    </row>
    <row r="164" spans="36:94" x14ac:dyDescent="0.2">
      <c r="AJ164" s="20"/>
      <c r="AK164" s="45"/>
      <c r="AL164" s="45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BV164" s="47"/>
      <c r="CP164" s="47"/>
    </row>
    <row r="165" spans="36:94" x14ac:dyDescent="0.2">
      <c r="AJ165" s="20"/>
      <c r="AK165" s="45"/>
      <c r="AL165" s="45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BV165" s="47"/>
      <c r="CP165" s="47"/>
    </row>
    <row r="166" spans="36:94" x14ac:dyDescent="0.2">
      <c r="AJ166" s="20"/>
      <c r="AK166" s="45"/>
      <c r="AL166" s="45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BV166" s="47"/>
      <c r="CP166" s="47"/>
    </row>
    <row r="167" spans="36:94" x14ac:dyDescent="0.2">
      <c r="AJ167" s="20"/>
      <c r="AK167" s="45"/>
      <c r="AL167" s="45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BV167" s="47"/>
      <c r="CP167" s="47"/>
    </row>
    <row r="168" spans="36:94" x14ac:dyDescent="0.2">
      <c r="AJ168" s="20"/>
      <c r="AK168" s="45"/>
      <c r="AL168" s="45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BV168" s="47"/>
      <c r="CP168" s="47"/>
    </row>
    <row r="169" spans="36:94" x14ac:dyDescent="0.2">
      <c r="AJ169" s="20"/>
      <c r="AK169" s="45"/>
      <c r="AL169" s="45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BV169" s="47"/>
      <c r="CP169" s="47"/>
    </row>
    <row r="170" spans="36:94" x14ac:dyDescent="0.2">
      <c r="AJ170" s="20"/>
      <c r="AK170" s="45"/>
      <c r="AL170" s="45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BV170" s="47"/>
      <c r="CP170" s="47"/>
    </row>
    <row r="171" spans="36:94" x14ac:dyDescent="0.2">
      <c r="AJ171" s="20"/>
      <c r="AK171" s="45"/>
      <c r="AL171" s="45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BV171" s="47"/>
      <c r="CP171" s="47"/>
    </row>
    <row r="172" spans="36:94" x14ac:dyDescent="0.2">
      <c r="AJ172" s="20"/>
      <c r="AK172" s="45"/>
      <c r="AL172" s="45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BV172" s="47"/>
      <c r="CP172" s="47"/>
    </row>
    <row r="173" spans="36:94" x14ac:dyDescent="0.2">
      <c r="AJ173" s="20"/>
      <c r="AK173" s="45"/>
      <c r="AL173" s="45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BV173" s="47"/>
      <c r="CP173" s="47"/>
    </row>
    <row r="174" spans="36:94" x14ac:dyDescent="0.2">
      <c r="AJ174" s="20"/>
      <c r="AK174" s="45"/>
      <c r="AL174" s="45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BV174" s="47"/>
      <c r="CP174" s="47"/>
    </row>
    <row r="175" spans="36:94" x14ac:dyDescent="0.2">
      <c r="AJ175" s="20"/>
      <c r="AK175" s="45"/>
      <c r="AL175" s="45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BV175" s="47"/>
      <c r="CP175" s="47"/>
    </row>
    <row r="176" spans="36:94" x14ac:dyDescent="0.2">
      <c r="AJ176" s="20"/>
      <c r="AK176" s="45"/>
      <c r="AL176" s="45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BV176" s="47"/>
      <c r="CP176" s="47"/>
    </row>
    <row r="177" spans="36:94" x14ac:dyDescent="0.2">
      <c r="AJ177" s="20"/>
      <c r="AK177" s="45"/>
      <c r="AL177" s="45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BV177" s="47"/>
      <c r="CP177" s="47"/>
    </row>
    <row r="178" spans="36:94" x14ac:dyDescent="0.2">
      <c r="AJ178" s="20"/>
      <c r="AK178" s="45"/>
      <c r="AL178" s="45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BV178" s="47"/>
      <c r="CP178" s="47"/>
    </row>
    <row r="179" spans="36:94" x14ac:dyDescent="0.2">
      <c r="AJ179" s="20"/>
      <c r="AK179" s="45"/>
      <c r="AL179" s="45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BV179" s="47"/>
      <c r="CP179" s="47"/>
    </row>
    <row r="180" spans="36:94" x14ac:dyDescent="0.2">
      <c r="AJ180" s="20"/>
      <c r="AK180" s="45"/>
      <c r="AL180" s="45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BV180" s="47"/>
      <c r="CP180" s="47"/>
    </row>
    <row r="181" spans="36:94" x14ac:dyDescent="0.2">
      <c r="AJ181" s="20"/>
      <c r="AK181" s="45"/>
      <c r="AL181" s="45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BV181" s="47"/>
      <c r="CP181" s="47"/>
    </row>
    <row r="182" spans="36:94" x14ac:dyDescent="0.2">
      <c r="AJ182" s="20"/>
      <c r="AK182" s="45"/>
      <c r="AL182" s="45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BV182" s="47"/>
      <c r="CP182" s="47"/>
    </row>
    <row r="183" spans="36:94" x14ac:dyDescent="0.2">
      <c r="AJ183" s="20"/>
      <c r="AK183" s="45"/>
      <c r="AL183" s="45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BV183" s="47"/>
      <c r="CP183" s="47"/>
    </row>
    <row r="184" spans="36:94" x14ac:dyDescent="0.2">
      <c r="AJ184" s="20"/>
      <c r="AK184" s="45"/>
      <c r="AL184" s="45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BV184" s="47"/>
      <c r="CP184" s="47"/>
    </row>
    <row r="185" spans="36:94" x14ac:dyDescent="0.2">
      <c r="AJ185" s="20"/>
      <c r="AK185" s="45"/>
      <c r="AL185" s="45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BV185" s="47"/>
      <c r="CP185" s="47"/>
    </row>
    <row r="186" spans="36:94" x14ac:dyDescent="0.2">
      <c r="AJ186" s="20"/>
      <c r="AK186" s="45"/>
      <c r="AL186" s="45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BV186" s="47"/>
      <c r="CP186" s="47"/>
    </row>
    <row r="187" spans="36:94" x14ac:dyDescent="0.2">
      <c r="AJ187" s="20"/>
      <c r="AK187" s="45"/>
      <c r="AL187" s="45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BV187" s="47"/>
      <c r="CP187" s="47"/>
    </row>
    <row r="188" spans="36:94" x14ac:dyDescent="0.2">
      <c r="AJ188" s="20"/>
      <c r="AK188" s="45"/>
      <c r="AL188" s="45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BV188" s="47"/>
      <c r="CP188" s="47"/>
    </row>
    <row r="189" spans="36:94" x14ac:dyDescent="0.2">
      <c r="AJ189" s="20"/>
      <c r="AK189" s="45"/>
      <c r="AL189" s="45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BV189" s="47"/>
      <c r="CP189" s="47"/>
    </row>
    <row r="190" spans="36:94" x14ac:dyDescent="0.2">
      <c r="AJ190" s="20"/>
      <c r="AK190" s="45"/>
      <c r="AL190" s="45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BV190" s="47"/>
      <c r="CP190" s="47"/>
    </row>
    <row r="191" spans="36:94" x14ac:dyDescent="0.2">
      <c r="AJ191" s="20"/>
      <c r="AK191" s="45"/>
      <c r="AL191" s="45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BV191" s="47"/>
      <c r="CP191" s="47"/>
    </row>
    <row r="192" spans="36:94" x14ac:dyDescent="0.2">
      <c r="AJ192" s="20"/>
      <c r="AK192" s="45"/>
      <c r="AL192" s="45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BV192" s="47"/>
      <c r="CP192" s="47"/>
    </row>
    <row r="193" spans="36:94" x14ac:dyDescent="0.2">
      <c r="AJ193" s="20"/>
      <c r="AK193" s="45"/>
      <c r="AL193" s="45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BV193" s="47"/>
      <c r="CP193" s="47"/>
    </row>
    <row r="194" spans="36:94" x14ac:dyDescent="0.2">
      <c r="AJ194" s="20"/>
      <c r="AK194" s="45"/>
      <c r="AL194" s="45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BV194" s="47"/>
      <c r="CP194" s="47"/>
    </row>
    <row r="195" spans="36:94" x14ac:dyDescent="0.2">
      <c r="AJ195" s="20"/>
      <c r="AK195" s="45"/>
      <c r="AL195" s="45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BV195" s="47"/>
      <c r="CP195" s="47"/>
    </row>
    <row r="196" spans="36:94" x14ac:dyDescent="0.2">
      <c r="AJ196" s="20"/>
      <c r="AK196" s="45"/>
      <c r="AL196" s="45"/>
      <c r="AM196" s="47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BV196" s="47"/>
      <c r="CP196" s="47"/>
    </row>
    <row r="197" spans="36:94" x14ac:dyDescent="0.2">
      <c r="AJ197" s="20"/>
      <c r="AK197" s="45"/>
      <c r="AL197" s="45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BV197" s="47"/>
      <c r="CP197" s="47"/>
    </row>
    <row r="198" spans="36:94" x14ac:dyDescent="0.2">
      <c r="AJ198" s="20"/>
      <c r="AK198" s="45"/>
      <c r="AL198" s="45"/>
      <c r="AM198" s="47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BV198" s="47"/>
      <c r="CP198" s="47"/>
    </row>
    <row r="199" spans="36:94" x14ac:dyDescent="0.2">
      <c r="AJ199" s="20"/>
      <c r="AK199" s="45"/>
      <c r="AL199" s="45"/>
      <c r="AM199" s="47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BV199" s="47"/>
      <c r="CP199" s="47"/>
    </row>
    <row r="200" spans="36:94" x14ac:dyDescent="0.2">
      <c r="AJ200" s="20"/>
      <c r="AK200" s="45"/>
      <c r="AL200" s="45"/>
      <c r="AM200" s="47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BV200" s="47"/>
      <c r="CP200" s="47"/>
    </row>
    <row r="201" spans="36:94" x14ac:dyDescent="0.2">
      <c r="AJ201" s="20"/>
      <c r="AK201" s="45"/>
      <c r="AL201" s="45"/>
      <c r="AM201" s="47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BV201" s="47"/>
      <c r="CP201" s="47"/>
    </row>
    <row r="202" spans="36:94" x14ac:dyDescent="0.2">
      <c r="AJ202" s="20"/>
      <c r="AK202" s="45"/>
      <c r="AL202" s="45"/>
      <c r="AM202" s="47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BV202" s="47"/>
      <c r="CP202" s="47"/>
    </row>
    <row r="203" spans="36:94" x14ac:dyDescent="0.2">
      <c r="AJ203" s="20"/>
      <c r="AK203" s="45"/>
      <c r="AL203" s="45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BV203" s="47"/>
      <c r="CP203" s="47"/>
    </row>
    <row r="204" spans="36:94" x14ac:dyDescent="0.2">
      <c r="AJ204" s="20"/>
      <c r="AK204" s="45"/>
      <c r="AL204" s="45"/>
      <c r="AM204" s="47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BV204" s="47"/>
      <c r="CP204" s="47"/>
    </row>
    <row r="205" spans="36:94" x14ac:dyDescent="0.2">
      <c r="AJ205" s="20"/>
      <c r="AK205" s="45"/>
      <c r="AL205" s="45"/>
      <c r="AM205" s="47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BV205" s="47"/>
      <c r="CP205" s="47"/>
    </row>
    <row r="206" spans="36:94" x14ac:dyDescent="0.2">
      <c r="AJ206" s="20"/>
      <c r="AK206" s="45"/>
      <c r="AL206" s="45"/>
      <c r="AM206" s="47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BV206" s="47"/>
      <c r="CP206" s="47"/>
    </row>
    <row r="207" spans="36:94" x14ac:dyDescent="0.2">
      <c r="AJ207" s="20"/>
      <c r="AK207" s="45"/>
      <c r="AL207" s="45"/>
      <c r="AM207" s="47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BV207" s="47"/>
      <c r="CP207" s="47"/>
    </row>
    <row r="208" spans="36:94" x14ac:dyDescent="0.2">
      <c r="AJ208" s="20"/>
      <c r="AK208" s="45"/>
      <c r="AL208" s="45"/>
      <c r="AM208" s="47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BV208" s="47"/>
      <c r="CP208" s="47"/>
    </row>
    <row r="209" spans="36:94" x14ac:dyDescent="0.2">
      <c r="AJ209" s="20"/>
      <c r="AK209" s="45"/>
      <c r="AL209" s="45"/>
      <c r="AM209" s="47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BV209" s="47"/>
      <c r="CP209" s="47"/>
    </row>
    <row r="210" spans="36:94" x14ac:dyDescent="0.2">
      <c r="AJ210" s="20"/>
      <c r="AK210" s="45"/>
      <c r="AL210" s="45"/>
      <c r="AM210" s="47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BV210" s="47"/>
      <c r="CP210" s="47"/>
    </row>
    <row r="211" spans="36:94" x14ac:dyDescent="0.2">
      <c r="AJ211" s="20"/>
      <c r="AK211" s="45"/>
      <c r="AL211" s="45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BV211" s="47"/>
      <c r="CP211" s="47"/>
    </row>
    <row r="212" spans="36:94" x14ac:dyDescent="0.2">
      <c r="AJ212" s="20"/>
      <c r="AK212" s="45"/>
      <c r="AL212" s="45"/>
      <c r="AM212" s="47"/>
      <c r="AN212" s="47"/>
      <c r="AO212" s="47"/>
      <c r="AP212" s="47"/>
      <c r="AQ212" s="47"/>
      <c r="AR212" s="47"/>
      <c r="AS212" s="47"/>
      <c r="AT212" s="47"/>
      <c r="AU212" s="47"/>
      <c r="AV212" s="47"/>
      <c r="AW212" s="47"/>
      <c r="BV212" s="47"/>
      <c r="CP212" s="47"/>
    </row>
    <row r="213" spans="36:94" x14ac:dyDescent="0.2">
      <c r="AJ213" s="20"/>
      <c r="AK213" s="45"/>
      <c r="AL213" s="45"/>
      <c r="AM213" s="47"/>
      <c r="AN213" s="47"/>
      <c r="AO213" s="47"/>
      <c r="AP213" s="47"/>
      <c r="AQ213" s="47"/>
      <c r="AR213" s="47"/>
      <c r="AS213" s="47"/>
      <c r="AT213" s="47"/>
      <c r="AU213" s="47"/>
      <c r="AV213" s="47"/>
      <c r="AW213" s="47"/>
      <c r="BV213" s="47"/>
      <c r="CP213" s="47"/>
    </row>
    <row r="214" spans="36:94" x14ac:dyDescent="0.2">
      <c r="AJ214" s="20"/>
      <c r="AK214" s="45"/>
      <c r="AL214" s="45"/>
      <c r="AM214" s="47"/>
      <c r="AN214" s="47"/>
      <c r="AO214" s="47"/>
      <c r="AP214" s="47"/>
      <c r="AQ214" s="47"/>
      <c r="AR214" s="47"/>
      <c r="AS214" s="47"/>
      <c r="AT214" s="47"/>
      <c r="AU214" s="47"/>
      <c r="AV214" s="47"/>
      <c r="AW214" s="47"/>
      <c r="BV214" s="47"/>
      <c r="CP214" s="47"/>
    </row>
    <row r="215" spans="36:94" x14ac:dyDescent="0.2">
      <c r="AJ215" s="20"/>
      <c r="AK215" s="45"/>
      <c r="AL215" s="45"/>
      <c r="AM215" s="47"/>
      <c r="AN215" s="47"/>
      <c r="AO215" s="47"/>
      <c r="AP215" s="47"/>
      <c r="AQ215" s="47"/>
      <c r="AR215" s="47"/>
      <c r="AS215" s="47"/>
      <c r="AT215" s="47"/>
      <c r="AU215" s="47"/>
      <c r="AV215" s="47"/>
      <c r="AW215" s="47"/>
      <c r="BV215" s="47"/>
      <c r="CP215" s="47"/>
    </row>
    <row r="216" spans="36:94" x14ac:dyDescent="0.2">
      <c r="AJ216" s="20"/>
      <c r="AK216" s="45"/>
      <c r="AL216" s="45"/>
      <c r="AM216" s="47"/>
      <c r="AN216" s="47"/>
      <c r="AO216" s="47"/>
      <c r="AP216" s="47"/>
      <c r="AQ216" s="47"/>
      <c r="AR216" s="47"/>
      <c r="AS216" s="47"/>
      <c r="AT216" s="47"/>
      <c r="AU216" s="47"/>
      <c r="AV216" s="47"/>
      <c r="AW216" s="47"/>
      <c r="BV216" s="47"/>
      <c r="CP216" s="47"/>
    </row>
    <row r="217" spans="36:94" x14ac:dyDescent="0.2">
      <c r="AJ217" s="20"/>
      <c r="AK217" s="45"/>
      <c r="AL217" s="45"/>
      <c r="AM217" s="47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BV217" s="47"/>
      <c r="CP217" s="47"/>
    </row>
    <row r="218" spans="36:94" x14ac:dyDescent="0.2">
      <c r="AJ218" s="20"/>
      <c r="AK218" s="45"/>
      <c r="AL218" s="45"/>
      <c r="AM218" s="47"/>
      <c r="AN218" s="47"/>
      <c r="AO218" s="47"/>
      <c r="AP218" s="47"/>
      <c r="AQ218" s="47"/>
      <c r="AR218" s="47"/>
      <c r="AS218" s="47"/>
      <c r="AT218" s="47"/>
      <c r="AU218" s="47"/>
      <c r="AV218" s="47"/>
      <c r="AW218" s="47"/>
      <c r="BV218" s="47"/>
      <c r="CP218" s="47"/>
    </row>
    <row r="219" spans="36:94" x14ac:dyDescent="0.2">
      <c r="AJ219" s="20"/>
      <c r="AK219" s="45"/>
      <c r="AL219" s="45"/>
      <c r="AM219" s="47"/>
      <c r="AN219" s="47"/>
      <c r="AO219" s="47"/>
      <c r="AP219" s="47"/>
      <c r="AQ219" s="47"/>
      <c r="AR219" s="47"/>
      <c r="AS219" s="47"/>
      <c r="AT219" s="47"/>
      <c r="AU219" s="47"/>
      <c r="AV219" s="47"/>
      <c r="AW219" s="47"/>
      <c r="BV219" s="47"/>
      <c r="CP219" s="47"/>
    </row>
    <row r="220" spans="36:94" x14ac:dyDescent="0.2">
      <c r="AJ220" s="20"/>
      <c r="AK220" s="45"/>
      <c r="AL220" s="45"/>
      <c r="AM220" s="47"/>
      <c r="AN220" s="47"/>
      <c r="AO220" s="47"/>
      <c r="AP220" s="47"/>
      <c r="AQ220" s="47"/>
      <c r="AR220" s="47"/>
      <c r="AS220" s="47"/>
      <c r="AT220" s="47"/>
      <c r="AU220" s="47"/>
      <c r="AV220" s="47"/>
      <c r="AW220" s="47"/>
      <c r="BV220" s="47"/>
      <c r="CP220" s="47"/>
    </row>
    <row r="221" spans="36:94" x14ac:dyDescent="0.2">
      <c r="AJ221" s="20"/>
      <c r="AK221" s="45"/>
      <c r="AL221" s="45"/>
      <c r="AM221" s="47"/>
      <c r="AN221" s="47"/>
      <c r="AO221" s="47"/>
      <c r="AP221" s="47"/>
      <c r="AQ221" s="47"/>
      <c r="AR221" s="47"/>
      <c r="AS221" s="47"/>
      <c r="AT221" s="47"/>
      <c r="AU221" s="47"/>
      <c r="AV221" s="47"/>
      <c r="AW221" s="47"/>
      <c r="BV221" s="47"/>
      <c r="CP221" s="47"/>
    </row>
    <row r="222" spans="36:94" x14ac:dyDescent="0.2">
      <c r="AJ222" s="20"/>
      <c r="AK222" s="45"/>
      <c r="AL222" s="45"/>
      <c r="AM222" s="47"/>
      <c r="AN222" s="47"/>
      <c r="AO222" s="47"/>
      <c r="AP222" s="47"/>
      <c r="AQ222" s="47"/>
      <c r="AR222" s="47"/>
      <c r="AS222" s="47"/>
      <c r="AT222" s="47"/>
      <c r="AU222" s="47"/>
      <c r="AV222" s="47"/>
      <c r="AW222" s="47"/>
      <c r="BV222" s="47"/>
      <c r="CP222" s="47"/>
    </row>
    <row r="223" spans="36:94" x14ac:dyDescent="0.2">
      <c r="AJ223" s="20"/>
      <c r="AK223" s="45"/>
      <c r="AL223" s="45"/>
      <c r="AM223" s="47"/>
      <c r="AN223" s="47"/>
      <c r="AO223" s="47"/>
      <c r="AP223" s="47"/>
      <c r="AQ223" s="47"/>
      <c r="AR223" s="47"/>
      <c r="AS223" s="47"/>
      <c r="AT223" s="47"/>
      <c r="AU223" s="47"/>
      <c r="AV223" s="47"/>
      <c r="AW223" s="47"/>
      <c r="BV223" s="47"/>
      <c r="CP223" s="47"/>
    </row>
    <row r="224" spans="36:94" x14ac:dyDescent="0.2">
      <c r="AJ224" s="20"/>
      <c r="AK224" s="45"/>
      <c r="AL224" s="45"/>
      <c r="AM224" s="47"/>
      <c r="AN224" s="47"/>
      <c r="AO224" s="47"/>
      <c r="AP224" s="47"/>
      <c r="AQ224" s="47"/>
      <c r="AR224" s="47"/>
      <c r="AS224" s="47"/>
      <c r="AT224" s="47"/>
      <c r="AU224" s="47"/>
      <c r="AV224" s="47"/>
      <c r="AW224" s="47"/>
      <c r="BV224" s="47"/>
      <c r="CP224" s="47"/>
    </row>
    <row r="225" spans="36:94" x14ac:dyDescent="0.2">
      <c r="AJ225" s="20"/>
      <c r="AK225" s="45"/>
      <c r="AL225" s="45"/>
      <c r="AM225" s="47"/>
      <c r="AN225" s="47"/>
      <c r="AO225" s="47"/>
      <c r="AP225" s="47"/>
      <c r="AQ225" s="47"/>
      <c r="AR225" s="47"/>
      <c r="AS225" s="47"/>
      <c r="AT225" s="47"/>
      <c r="AU225" s="47"/>
      <c r="AV225" s="47"/>
      <c r="AW225" s="47"/>
      <c r="BV225" s="47"/>
      <c r="CP225" s="47"/>
    </row>
    <row r="226" spans="36:94" x14ac:dyDescent="0.2">
      <c r="AJ226" s="20"/>
      <c r="AK226" s="45"/>
      <c r="AL226" s="45"/>
      <c r="AM226" s="47"/>
      <c r="AN226" s="47"/>
      <c r="AO226" s="47"/>
      <c r="AP226" s="47"/>
      <c r="AQ226" s="47"/>
      <c r="AR226" s="47"/>
      <c r="AS226" s="47"/>
      <c r="AT226" s="47"/>
      <c r="AU226" s="47"/>
      <c r="AV226" s="47"/>
      <c r="AW226" s="47"/>
      <c r="BV226" s="47"/>
      <c r="CP226" s="47"/>
    </row>
    <row r="227" spans="36:94" x14ac:dyDescent="0.2">
      <c r="AJ227" s="20"/>
      <c r="AK227" s="45"/>
      <c r="AL227" s="45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BV227" s="47"/>
      <c r="CP227" s="47"/>
    </row>
    <row r="228" spans="36:94" x14ac:dyDescent="0.2">
      <c r="AJ228" s="20"/>
      <c r="AK228" s="45"/>
      <c r="AL228" s="45"/>
      <c r="AM228" s="47"/>
      <c r="AN228" s="47"/>
      <c r="AO228" s="47"/>
      <c r="AP228" s="47"/>
      <c r="AQ228" s="47"/>
      <c r="AR228" s="47"/>
      <c r="AS228" s="47"/>
      <c r="AT228" s="47"/>
      <c r="AU228" s="47"/>
      <c r="AV228" s="47"/>
      <c r="AW228" s="47"/>
      <c r="BV228" s="47"/>
      <c r="CP228" s="47"/>
    </row>
    <row r="229" spans="36:94" x14ac:dyDescent="0.2">
      <c r="AJ229" s="20"/>
      <c r="AK229" s="45"/>
      <c r="AL229" s="45"/>
      <c r="AM229" s="47"/>
      <c r="AN229" s="47"/>
      <c r="AO229" s="47"/>
      <c r="AP229" s="47"/>
      <c r="AQ229" s="47"/>
      <c r="AR229" s="47"/>
      <c r="AS229" s="47"/>
      <c r="AT229" s="47"/>
      <c r="AU229" s="47"/>
      <c r="AV229" s="47"/>
      <c r="AW229" s="47"/>
      <c r="BV229" s="47"/>
      <c r="CP229" s="47"/>
    </row>
    <row r="230" spans="36:94" x14ac:dyDescent="0.2">
      <c r="AJ230" s="20"/>
      <c r="AK230" s="45"/>
      <c r="AL230" s="45"/>
      <c r="AM230" s="47"/>
      <c r="AN230" s="47"/>
      <c r="AO230" s="47"/>
      <c r="AP230" s="47"/>
      <c r="AQ230" s="47"/>
      <c r="AR230" s="47"/>
      <c r="AS230" s="47"/>
      <c r="AT230" s="47"/>
      <c r="AU230" s="47"/>
      <c r="AV230" s="47"/>
      <c r="AW230" s="47"/>
      <c r="BV230" s="47"/>
      <c r="CP230" s="47"/>
    </row>
    <row r="231" spans="36:94" x14ac:dyDescent="0.2">
      <c r="AJ231" s="20"/>
      <c r="AK231" s="45"/>
      <c r="AL231" s="45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BV231" s="47"/>
      <c r="CP231" s="47"/>
    </row>
    <row r="232" spans="36:94" x14ac:dyDescent="0.2">
      <c r="AJ232" s="20"/>
      <c r="AK232" s="45"/>
      <c r="AL232" s="45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/>
      <c r="BV232" s="47"/>
      <c r="CP232" s="47"/>
    </row>
    <row r="233" spans="36:94" x14ac:dyDescent="0.2">
      <c r="AJ233" s="20"/>
      <c r="AK233" s="45"/>
      <c r="AL233" s="45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BV233" s="47"/>
      <c r="CP233" s="47"/>
    </row>
    <row r="234" spans="36:94" x14ac:dyDescent="0.2">
      <c r="AJ234" s="20"/>
      <c r="AK234" s="45"/>
      <c r="AL234" s="45"/>
      <c r="AM234" s="47"/>
      <c r="AN234" s="47"/>
      <c r="AO234" s="47"/>
      <c r="AP234" s="47"/>
      <c r="AQ234" s="47"/>
      <c r="AR234" s="47"/>
      <c r="AS234" s="47"/>
      <c r="AT234" s="47"/>
      <c r="AU234" s="47"/>
      <c r="AV234" s="47"/>
      <c r="AW234" s="47"/>
      <c r="BV234" s="47"/>
      <c r="CP234" s="47"/>
    </row>
    <row r="235" spans="36:94" x14ac:dyDescent="0.2">
      <c r="AJ235" s="20"/>
      <c r="AK235" s="45"/>
      <c r="AL235" s="45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47"/>
      <c r="BV235" s="47"/>
      <c r="CP235" s="47"/>
    </row>
    <row r="236" spans="36:94" x14ac:dyDescent="0.2">
      <c r="AJ236" s="20"/>
      <c r="AK236" s="45"/>
      <c r="AL236" s="45"/>
      <c r="AM236" s="47"/>
      <c r="AN236" s="47"/>
      <c r="AO236" s="47"/>
      <c r="AP236" s="47"/>
      <c r="AQ236" s="47"/>
      <c r="AR236" s="47"/>
      <c r="AS236" s="47"/>
      <c r="AT236" s="47"/>
      <c r="AU236" s="47"/>
      <c r="AV236" s="47"/>
      <c r="AW236" s="47"/>
      <c r="BV236" s="47"/>
      <c r="CP236" s="47"/>
    </row>
    <row r="237" spans="36:94" x14ac:dyDescent="0.2">
      <c r="AJ237" s="20"/>
      <c r="AK237" s="45"/>
      <c r="AL237" s="45"/>
      <c r="AM237" s="47"/>
      <c r="AN237" s="47"/>
      <c r="AO237" s="47"/>
      <c r="AP237" s="47"/>
      <c r="AQ237" s="47"/>
      <c r="AR237" s="47"/>
      <c r="AS237" s="47"/>
      <c r="AT237" s="47"/>
      <c r="AU237" s="47"/>
      <c r="AV237" s="47"/>
      <c r="AW237" s="47"/>
      <c r="BV237" s="47"/>
      <c r="CP237" s="47"/>
    </row>
    <row r="238" spans="36:94" x14ac:dyDescent="0.2">
      <c r="AJ238" s="20"/>
      <c r="AK238" s="45"/>
      <c r="AL238" s="45"/>
      <c r="AM238" s="47"/>
      <c r="AN238" s="47"/>
      <c r="AO238" s="47"/>
      <c r="AP238" s="47"/>
      <c r="AQ238" s="47"/>
      <c r="AR238" s="47"/>
      <c r="AS238" s="47"/>
      <c r="AT238" s="47"/>
      <c r="AU238" s="47"/>
      <c r="AV238" s="47"/>
      <c r="AW238" s="47"/>
      <c r="BV238" s="47"/>
      <c r="CP238" s="47"/>
    </row>
    <row r="239" spans="36:94" x14ac:dyDescent="0.2">
      <c r="AJ239" s="20"/>
      <c r="AK239" s="45"/>
      <c r="AL239" s="45"/>
      <c r="AM239" s="47"/>
      <c r="AN239" s="47"/>
      <c r="AO239" s="47"/>
      <c r="AP239" s="47"/>
      <c r="AQ239" s="47"/>
      <c r="AR239" s="47"/>
      <c r="AS239" s="47"/>
      <c r="AT239" s="47"/>
      <c r="AU239" s="47"/>
      <c r="AV239" s="47"/>
      <c r="AW239" s="47"/>
      <c r="BV239" s="47"/>
      <c r="CP239" s="47"/>
    </row>
    <row r="240" spans="36:94" x14ac:dyDescent="0.2">
      <c r="AJ240" s="20"/>
      <c r="AK240" s="45"/>
      <c r="AL240" s="45"/>
      <c r="AM240" s="47"/>
      <c r="AN240" s="47"/>
      <c r="AO240" s="47"/>
      <c r="AP240" s="47"/>
      <c r="AQ240" s="47"/>
      <c r="AR240" s="47"/>
      <c r="AS240" s="47"/>
      <c r="AT240" s="47"/>
      <c r="AU240" s="47"/>
      <c r="AV240" s="47"/>
      <c r="AW240" s="47"/>
      <c r="BV240" s="47"/>
      <c r="CP240" s="47"/>
    </row>
    <row r="241" spans="36:94" x14ac:dyDescent="0.2">
      <c r="AJ241" s="20"/>
      <c r="AK241" s="45"/>
      <c r="AL241" s="45"/>
      <c r="AM241" s="47"/>
      <c r="AN241" s="47"/>
      <c r="AO241" s="47"/>
      <c r="AP241" s="47"/>
      <c r="AQ241" s="47"/>
      <c r="AR241" s="47"/>
      <c r="AS241" s="47"/>
      <c r="AT241" s="47"/>
      <c r="AU241" s="47"/>
      <c r="AV241" s="47"/>
      <c r="AW241" s="47"/>
      <c r="BV241" s="47"/>
      <c r="CP241" s="47"/>
    </row>
    <row r="242" spans="36:94" x14ac:dyDescent="0.2">
      <c r="AJ242" s="20"/>
      <c r="AK242" s="45"/>
      <c r="AL242" s="45"/>
      <c r="AM242" s="47"/>
      <c r="AN242" s="47"/>
      <c r="AO242" s="47"/>
      <c r="AP242" s="47"/>
      <c r="AQ242" s="47"/>
      <c r="AR242" s="47"/>
      <c r="AS242" s="47"/>
      <c r="AT242" s="47"/>
      <c r="AU242" s="47"/>
      <c r="AV242" s="47"/>
      <c r="AW242" s="47"/>
      <c r="BV242" s="47"/>
      <c r="CP242" s="47"/>
    </row>
    <row r="243" spans="36:94" x14ac:dyDescent="0.2">
      <c r="AJ243" s="20"/>
      <c r="AK243" s="45"/>
      <c r="AL243" s="45"/>
      <c r="AM243" s="47"/>
      <c r="AN243" s="47"/>
      <c r="AO243" s="47"/>
      <c r="AP243" s="47"/>
      <c r="AQ243" s="47"/>
      <c r="AR243" s="47"/>
      <c r="AS243" s="47"/>
      <c r="AT243" s="47"/>
      <c r="AU243" s="47"/>
      <c r="AV243" s="47"/>
      <c r="AW243" s="47"/>
      <c r="BV243" s="47"/>
      <c r="CP243" s="47"/>
    </row>
    <row r="244" spans="36:94" x14ac:dyDescent="0.2">
      <c r="AJ244" s="20"/>
      <c r="AK244" s="45"/>
      <c r="AL244" s="45"/>
      <c r="AM244" s="47"/>
      <c r="AN244" s="47"/>
      <c r="AO244" s="47"/>
      <c r="AP244" s="47"/>
      <c r="AQ244" s="47"/>
      <c r="AR244" s="47"/>
      <c r="AS244" s="47"/>
      <c r="AT244" s="47"/>
      <c r="AU244" s="47"/>
      <c r="AV244" s="47"/>
      <c r="AW244" s="47"/>
      <c r="BV244" s="47"/>
      <c r="CP244" s="47"/>
    </row>
    <row r="245" spans="36:94" x14ac:dyDescent="0.2">
      <c r="AJ245" s="20"/>
      <c r="AK245" s="45"/>
      <c r="AL245" s="45"/>
      <c r="AM245" s="47"/>
      <c r="AN245" s="47"/>
      <c r="AO245" s="47"/>
      <c r="AP245" s="47"/>
      <c r="AQ245" s="47"/>
      <c r="AR245" s="47"/>
      <c r="AS245" s="47"/>
      <c r="AT245" s="47"/>
      <c r="AU245" s="47"/>
      <c r="AV245" s="47"/>
      <c r="AW245" s="47"/>
      <c r="BV245" s="47"/>
      <c r="CP245" s="47"/>
    </row>
    <row r="246" spans="36:94" x14ac:dyDescent="0.2">
      <c r="AJ246" s="20"/>
      <c r="AK246" s="45"/>
      <c r="AL246" s="45"/>
      <c r="AM246" s="47"/>
      <c r="AN246" s="47"/>
      <c r="AO246" s="47"/>
      <c r="AP246" s="47"/>
      <c r="AQ246" s="47"/>
      <c r="AR246" s="47"/>
      <c r="AS246" s="47"/>
      <c r="AT246" s="47"/>
      <c r="AU246" s="47"/>
      <c r="AV246" s="47"/>
      <c r="AW246" s="47"/>
      <c r="BV246" s="47"/>
      <c r="CP246" s="47"/>
    </row>
    <row r="247" spans="36:94" x14ac:dyDescent="0.2">
      <c r="AJ247" s="20"/>
      <c r="AK247" s="45"/>
      <c r="AL247" s="45"/>
      <c r="AM247" s="47"/>
      <c r="AN247" s="47"/>
      <c r="AO247" s="47"/>
      <c r="AP247" s="47"/>
      <c r="AQ247" s="47"/>
      <c r="AR247" s="47"/>
      <c r="AS247" s="47"/>
      <c r="AT247" s="47"/>
      <c r="AU247" s="47"/>
      <c r="AV247" s="47"/>
      <c r="AW247" s="47"/>
      <c r="BV247" s="47"/>
      <c r="CP247" s="47"/>
    </row>
    <row r="248" spans="36:94" x14ac:dyDescent="0.2">
      <c r="AJ248" s="20"/>
      <c r="AK248" s="45"/>
      <c r="AL248" s="45"/>
      <c r="AM248" s="47"/>
      <c r="AN248" s="47"/>
      <c r="AO248" s="47"/>
      <c r="AP248" s="47"/>
      <c r="AQ248" s="47"/>
      <c r="AR248" s="47"/>
      <c r="AS248" s="47"/>
      <c r="AT248" s="47"/>
      <c r="AU248" s="47"/>
      <c r="AV248" s="47"/>
      <c r="AW248" s="47"/>
      <c r="BV248" s="47"/>
      <c r="CP248" s="47"/>
    </row>
    <row r="249" spans="36:94" x14ac:dyDescent="0.2">
      <c r="AJ249" s="20"/>
      <c r="AK249" s="45"/>
      <c r="AL249" s="45"/>
      <c r="AM249" s="47"/>
      <c r="AN249" s="47"/>
      <c r="AO249" s="47"/>
      <c r="AP249" s="47"/>
      <c r="AQ249" s="47"/>
      <c r="AR249" s="47"/>
      <c r="AS249" s="47"/>
      <c r="AT249" s="47"/>
      <c r="AU249" s="47"/>
      <c r="AV249" s="47"/>
      <c r="AW249" s="47"/>
      <c r="BV249" s="47"/>
      <c r="CP249" s="47"/>
    </row>
    <row r="250" spans="36:94" x14ac:dyDescent="0.2">
      <c r="AJ250" s="20"/>
      <c r="AK250" s="45"/>
      <c r="AL250" s="45"/>
      <c r="AM250" s="47"/>
      <c r="AN250" s="47"/>
      <c r="AO250" s="47"/>
      <c r="AP250" s="47"/>
      <c r="AQ250" s="47"/>
      <c r="AR250" s="47"/>
      <c r="AS250" s="47"/>
      <c r="AT250" s="47"/>
      <c r="AU250" s="47"/>
      <c r="AV250" s="47"/>
      <c r="AW250" s="47"/>
      <c r="BV250" s="47"/>
      <c r="CP250" s="47"/>
    </row>
    <row r="251" spans="36:94" x14ac:dyDescent="0.2">
      <c r="AJ251" s="20"/>
      <c r="AK251" s="45"/>
      <c r="AL251" s="45"/>
      <c r="AM251" s="47"/>
      <c r="AN251" s="47"/>
      <c r="AO251" s="47"/>
      <c r="AP251" s="47"/>
      <c r="AQ251" s="47"/>
      <c r="AR251" s="47"/>
      <c r="AS251" s="47"/>
      <c r="AT251" s="47"/>
      <c r="AU251" s="47"/>
      <c r="AV251" s="47"/>
      <c r="AW251" s="47"/>
      <c r="BV251" s="47"/>
      <c r="CP251" s="47"/>
    </row>
    <row r="252" spans="36:94" x14ac:dyDescent="0.2">
      <c r="AJ252" s="20"/>
      <c r="AK252" s="45"/>
      <c r="AL252" s="45"/>
      <c r="AM252" s="47"/>
      <c r="AN252" s="47"/>
      <c r="AO252" s="47"/>
      <c r="AP252" s="47"/>
      <c r="AQ252" s="47"/>
      <c r="AR252" s="47"/>
      <c r="AS252" s="47"/>
      <c r="AT252" s="47"/>
      <c r="AU252" s="47"/>
      <c r="AV252" s="47"/>
      <c r="AW252" s="47"/>
      <c r="BV252" s="47"/>
      <c r="CP252" s="47"/>
    </row>
    <row r="253" spans="36:94" x14ac:dyDescent="0.2">
      <c r="AJ253" s="20"/>
      <c r="AK253" s="45"/>
      <c r="AL253" s="45"/>
      <c r="AM253" s="47"/>
      <c r="AN253" s="47"/>
      <c r="AO253" s="47"/>
      <c r="AP253" s="47"/>
      <c r="AQ253" s="47"/>
      <c r="AR253" s="47"/>
      <c r="AS253" s="47"/>
      <c r="AT253" s="47"/>
      <c r="AU253" s="47"/>
      <c r="AV253" s="47"/>
      <c r="AW253" s="47"/>
      <c r="BV253" s="47"/>
      <c r="CP253" s="47"/>
    </row>
    <row r="254" spans="36:94" x14ac:dyDescent="0.2">
      <c r="AJ254" s="20"/>
      <c r="AK254" s="45"/>
      <c r="AL254" s="45"/>
      <c r="AM254" s="47"/>
      <c r="AN254" s="47"/>
      <c r="AO254" s="47"/>
      <c r="AP254" s="47"/>
      <c r="AQ254" s="47"/>
      <c r="AR254" s="47"/>
      <c r="AS254" s="47"/>
      <c r="AT254" s="47"/>
      <c r="AU254" s="47"/>
      <c r="AV254" s="47"/>
      <c r="AW254" s="47"/>
      <c r="BV254" s="47"/>
      <c r="CP254" s="47"/>
    </row>
    <row r="255" spans="36:94" x14ac:dyDescent="0.2">
      <c r="AJ255" s="20"/>
      <c r="AK255" s="45"/>
      <c r="AL255" s="45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BV255" s="47"/>
      <c r="CP255" s="47"/>
    </row>
    <row r="256" spans="36:94" x14ac:dyDescent="0.2">
      <c r="AJ256" s="20"/>
      <c r="AK256" s="45"/>
      <c r="AL256" s="45"/>
      <c r="AM256" s="47"/>
      <c r="AN256" s="47"/>
      <c r="AO256" s="47"/>
      <c r="AP256" s="47"/>
      <c r="AQ256" s="47"/>
      <c r="AR256" s="47"/>
      <c r="AS256" s="47"/>
      <c r="AT256" s="47"/>
      <c r="AU256" s="47"/>
      <c r="AV256" s="47"/>
      <c r="AW256" s="47"/>
      <c r="BV256" s="47"/>
      <c r="CP256" s="47"/>
    </row>
    <row r="257" spans="36:94" x14ac:dyDescent="0.2">
      <c r="AJ257" s="20"/>
      <c r="AK257" s="45"/>
      <c r="AL257" s="45"/>
      <c r="AM257" s="47"/>
      <c r="AN257" s="47"/>
      <c r="AO257" s="47"/>
      <c r="AP257" s="47"/>
      <c r="AQ257" s="47"/>
      <c r="AR257" s="47"/>
      <c r="AS257" s="47"/>
      <c r="AT257" s="47"/>
      <c r="AU257" s="47"/>
      <c r="AV257" s="47"/>
      <c r="AW257" s="47"/>
      <c r="BV257" s="47"/>
      <c r="CP257" s="47"/>
    </row>
    <row r="258" spans="36:94" x14ac:dyDescent="0.2">
      <c r="AJ258" s="20"/>
      <c r="AK258" s="45"/>
      <c r="AL258" s="45"/>
      <c r="AM258" s="47"/>
      <c r="AN258" s="47"/>
      <c r="AO258" s="47"/>
      <c r="AP258" s="47"/>
      <c r="AQ258" s="47"/>
      <c r="AR258" s="47"/>
      <c r="AS258" s="47"/>
      <c r="AT258" s="47"/>
      <c r="AU258" s="47"/>
      <c r="AV258" s="47"/>
      <c r="AW258" s="47"/>
      <c r="BV258" s="47"/>
      <c r="CP258" s="47"/>
    </row>
    <row r="259" spans="36:94" x14ac:dyDescent="0.2">
      <c r="AJ259" s="20"/>
      <c r="AK259" s="45"/>
      <c r="AL259" s="45"/>
      <c r="AM259" s="47"/>
      <c r="AN259" s="47"/>
      <c r="AO259" s="47"/>
      <c r="AP259" s="47"/>
      <c r="AQ259" s="47"/>
      <c r="AR259" s="47"/>
      <c r="AS259" s="47"/>
      <c r="AT259" s="47"/>
      <c r="AU259" s="47"/>
      <c r="AV259" s="47"/>
      <c r="AW259" s="47"/>
      <c r="BV259" s="47"/>
      <c r="CP259" s="47"/>
    </row>
    <row r="260" spans="36:94" x14ac:dyDescent="0.2">
      <c r="AJ260" s="20"/>
      <c r="AK260" s="45"/>
      <c r="AL260" s="45"/>
      <c r="AM260" s="47"/>
      <c r="AN260" s="47"/>
      <c r="AO260" s="47"/>
      <c r="AP260" s="47"/>
      <c r="AQ260" s="47"/>
      <c r="AR260" s="47"/>
      <c r="AS260" s="47"/>
      <c r="AT260" s="47"/>
      <c r="AU260" s="47"/>
      <c r="AV260" s="47"/>
      <c r="AW260" s="47"/>
      <c r="BV260" s="47"/>
      <c r="CP260" s="47"/>
    </row>
    <row r="261" spans="36:94" x14ac:dyDescent="0.2">
      <c r="AJ261" s="20"/>
      <c r="AK261" s="45"/>
      <c r="AL261" s="45"/>
      <c r="AM261" s="47"/>
      <c r="AN261" s="47"/>
      <c r="AO261" s="47"/>
      <c r="AP261" s="47"/>
      <c r="AQ261" s="47"/>
      <c r="AR261" s="47"/>
      <c r="AS261" s="47"/>
      <c r="AT261" s="47"/>
      <c r="AU261" s="47"/>
      <c r="AV261" s="47"/>
      <c r="AW261" s="47"/>
      <c r="BV261" s="47"/>
      <c r="CP261" s="47"/>
    </row>
    <row r="262" spans="36:94" x14ac:dyDescent="0.2">
      <c r="AJ262" s="20"/>
      <c r="AK262" s="45"/>
      <c r="AL262" s="45"/>
      <c r="AM262" s="47"/>
      <c r="AN262" s="47"/>
      <c r="AO262" s="47"/>
      <c r="AP262" s="47"/>
      <c r="AQ262" s="47"/>
      <c r="AR262" s="47"/>
      <c r="AS262" s="47"/>
      <c r="AT262" s="47"/>
      <c r="AU262" s="47"/>
      <c r="AV262" s="47"/>
      <c r="AW262" s="47"/>
      <c r="BV262" s="47"/>
      <c r="CP262" s="47"/>
    </row>
    <row r="263" spans="36:94" x14ac:dyDescent="0.2">
      <c r="AJ263" s="20"/>
      <c r="AK263" s="45"/>
      <c r="AL263" s="45"/>
      <c r="AM263" s="47"/>
      <c r="AN263" s="47"/>
      <c r="AO263" s="47"/>
      <c r="AP263" s="47"/>
      <c r="AQ263" s="47"/>
      <c r="AR263" s="47"/>
      <c r="AS263" s="47"/>
      <c r="AT263" s="47"/>
      <c r="AU263" s="47"/>
      <c r="AV263" s="47"/>
      <c r="AW263" s="47"/>
      <c r="BV263" s="47"/>
      <c r="CP263" s="47"/>
    </row>
    <row r="264" spans="36:94" x14ac:dyDescent="0.2">
      <c r="AJ264" s="20"/>
      <c r="AK264" s="45"/>
      <c r="AL264" s="45"/>
      <c r="AM264" s="47"/>
      <c r="AN264" s="47"/>
      <c r="AO264" s="47"/>
      <c r="AP264" s="47"/>
      <c r="AQ264" s="47"/>
      <c r="AR264" s="47"/>
      <c r="AS264" s="47"/>
      <c r="AT264" s="47"/>
      <c r="AU264" s="47"/>
      <c r="AV264" s="47"/>
      <c r="AW264" s="47"/>
      <c r="BV264" s="47"/>
      <c r="CP264" s="47"/>
    </row>
    <row r="265" spans="36:94" x14ac:dyDescent="0.2">
      <c r="AJ265" s="20"/>
      <c r="AK265" s="45"/>
      <c r="AL265" s="45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BV265" s="47"/>
      <c r="CP265" s="47"/>
    </row>
    <row r="266" spans="36:94" x14ac:dyDescent="0.2">
      <c r="AJ266" s="20"/>
      <c r="AK266" s="45"/>
      <c r="AL266" s="45"/>
      <c r="AM266" s="47"/>
      <c r="AN266" s="47"/>
      <c r="AO266" s="47"/>
      <c r="AP266" s="47"/>
      <c r="AQ266" s="47"/>
      <c r="AR266" s="47"/>
      <c r="AS266" s="47"/>
      <c r="AT266" s="47"/>
      <c r="AU266" s="47"/>
      <c r="AV266" s="47"/>
      <c r="AW266" s="47"/>
      <c r="BV266" s="47"/>
      <c r="CP266" s="47"/>
    </row>
    <row r="267" spans="36:94" x14ac:dyDescent="0.2">
      <c r="AJ267" s="20"/>
      <c r="AK267" s="45"/>
      <c r="AL267" s="45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  <c r="BV267" s="47"/>
      <c r="CP267" s="47"/>
    </row>
    <row r="268" spans="36:94" x14ac:dyDescent="0.2">
      <c r="AJ268" s="20"/>
      <c r="AK268" s="45"/>
      <c r="AL268" s="45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  <c r="AW268" s="47"/>
      <c r="BV268" s="47"/>
      <c r="CP268" s="47"/>
    </row>
    <row r="269" spans="36:94" x14ac:dyDescent="0.2">
      <c r="AJ269" s="20"/>
      <c r="AK269" s="45"/>
      <c r="AL269" s="45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  <c r="BV269" s="47"/>
      <c r="CP269" s="47"/>
    </row>
    <row r="270" spans="36:94" x14ac:dyDescent="0.2">
      <c r="AJ270" s="20"/>
      <c r="AK270" s="45"/>
      <c r="AL270" s="45"/>
      <c r="AM270" s="47"/>
      <c r="AN270" s="47"/>
      <c r="AO270" s="47"/>
      <c r="AP270" s="47"/>
      <c r="AQ270" s="47"/>
      <c r="AR270" s="47"/>
      <c r="AS270" s="47"/>
      <c r="AT270" s="47"/>
      <c r="AU270" s="47"/>
      <c r="AV270" s="47"/>
      <c r="AW270" s="47"/>
      <c r="BV270" s="47"/>
      <c r="CP270" s="47"/>
    </row>
    <row r="271" spans="36:94" x14ac:dyDescent="0.2">
      <c r="AJ271" s="20"/>
      <c r="AK271" s="45"/>
      <c r="AL271" s="45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BV271" s="47"/>
      <c r="CP271" s="47"/>
    </row>
    <row r="272" spans="36:94" x14ac:dyDescent="0.2">
      <c r="AJ272" s="20"/>
      <c r="AK272" s="45"/>
      <c r="AL272" s="45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  <c r="BV272" s="47"/>
      <c r="CP272" s="47"/>
    </row>
    <row r="273" spans="36:94" x14ac:dyDescent="0.2">
      <c r="AJ273" s="20"/>
      <c r="AK273" s="45"/>
      <c r="AL273" s="45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  <c r="BV273" s="47"/>
      <c r="CP273" s="47"/>
    </row>
    <row r="274" spans="36:94" x14ac:dyDescent="0.2">
      <c r="AJ274" s="20"/>
      <c r="AK274" s="45"/>
      <c r="AL274" s="45"/>
      <c r="AM274" s="47"/>
      <c r="AN274" s="47"/>
      <c r="AO274" s="47"/>
      <c r="AP274" s="47"/>
      <c r="AQ274" s="47"/>
      <c r="AR274" s="47"/>
      <c r="AS274" s="47"/>
      <c r="AT274" s="47"/>
      <c r="AU274" s="47"/>
      <c r="AV274" s="47"/>
      <c r="AW274" s="47"/>
      <c r="BV274" s="47"/>
      <c r="CP274" s="47"/>
    </row>
    <row r="275" spans="36:94" x14ac:dyDescent="0.2">
      <c r="AJ275" s="20"/>
      <c r="AK275" s="45"/>
      <c r="AL275" s="45"/>
      <c r="AM275" s="47"/>
      <c r="AN275" s="47"/>
      <c r="AO275" s="47"/>
      <c r="AP275" s="47"/>
      <c r="AQ275" s="47"/>
      <c r="AR275" s="47"/>
      <c r="AS275" s="47"/>
      <c r="AT275" s="47"/>
      <c r="AU275" s="47"/>
      <c r="AV275" s="47"/>
      <c r="AW275" s="47"/>
      <c r="BV275" s="47"/>
      <c r="CP275" s="47"/>
    </row>
    <row r="276" spans="36:94" x14ac:dyDescent="0.2">
      <c r="AJ276" s="20"/>
      <c r="AK276" s="45"/>
      <c r="AL276" s="45"/>
      <c r="AM276" s="47"/>
      <c r="AN276" s="47"/>
      <c r="AO276" s="47"/>
      <c r="AP276" s="47"/>
      <c r="AQ276" s="47"/>
      <c r="AR276" s="47"/>
      <c r="AS276" s="47"/>
      <c r="AT276" s="47"/>
      <c r="AU276" s="47"/>
      <c r="AV276" s="47"/>
      <c r="AW276" s="47"/>
      <c r="BV276" s="47"/>
      <c r="CP276" s="47"/>
    </row>
    <row r="277" spans="36:94" x14ac:dyDescent="0.2">
      <c r="AJ277" s="20"/>
      <c r="AK277" s="45"/>
      <c r="AL277" s="45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  <c r="AW277" s="47"/>
      <c r="BV277" s="47"/>
      <c r="CP277" s="47"/>
    </row>
    <row r="278" spans="36:94" x14ac:dyDescent="0.2">
      <c r="AJ278" s="20"/>
      <c r="AK278" s="45"/>
      <c r="AL278" s="45"/>
      <c r="AM278" s="47"/>
      <c r="AN278" s="47"/>
      <c r="AO278" s="47"/>
      <c r="AP278" s="47"/>
      <c r="AQ278" s="47"/>
      <c r="AR278" s="47"/>
      <c r="AS278" s="47"/>
      <c r="AT278" s="47"/>
      <c r="AU278" s="47"/>
      <c r="AV278" s="47"/>
      <c r="AW278" s="47"/>
      <c r="BV278" s="47"/>
      <c r="CP278" s="47"/>
    </row>
    <row r="279" spans="36:94" x14ac:dyDescent="0.2">
      <c r="AJ279" s="20"/>
      <c r="AK279" s="45"/>
      <c r="AL279" s="45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BV279" s="47"/>
      <c r="CP279" s="47"/>
    </row>
    <row r="280" spans="36:94" x14ac:dyDescent="0.2">
      <c r="AJ280" s="20"/>
      <c r="AK280" s="45"/>
      <c r="AL280" s="45"/>
      <c r="AM280" s="47"/>
      <c r="AN280" s="47"/>
      <c r="AO280" s="47"/>
      <c r="AP280" s="47"/>
      <c r="AQ280" s="47"/>
      <c r="AR280" s="47"/>
      <c r="AS280" s="47"/>
      <c r="AT280" s="47"/>
      <c r="AU280" s="47"/>
      <c r="AV280" s="47"/>
      <c r="AW280" s="47"/>
      <c r="BV280" s="47"/>
      <c r="CP280" s="47"/>
    </row>
    <row r="281" spans="36:94" x14ac:dyDescent="0.2">
      <c r="AJ281" s="20"/>
      <c r="AK281" s="45"/>
      <c r="AL281" s="45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BV281" s="47"/>
      <c r="CP281" s="47"/>
    </row>
    <row r="282" spans="36:94" x14ac:dyDescent="0.2">
      <c r="AJ282" s="20"/>
      <c r="AK282" s="45"/>
      <c r="AL282" s="45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  <c r="AW282" s="47"/>
      <c r="BV282" s="47"/>
      <c r="CP282" s="47"/>
    </row>
    <row r="283" spans="36:94" x14ac:dyDescent="0.2">
      <c r="AJ283" s="20"/>
      <c r="AK283" s="45"/>
      <c r="AL283" s="45"/>
      <c r="AM283" s="47"/>
      <c r="AN283" s="47"/>
      <c r="AO283" s="47"/>
      <c r="AP283" s="47"/>
      <c r="AQ283" s="47"/>
      <c r="AR283" s="47"/>
      <c r="AS283" s="47"/>
      <c r="AT283" s="47"/>
      <c r="AU283" s="47"/>
      <c r="AV283" s="47"/>
      <c r="AW283" s="47"/>
      <c r="BV283" s="47"/>
      <c r="CP283" s="47"/>
    </row>
    <row r="284" spans="36:94" x14ac:dyDescent="0.2">
      <c r="AJ284" s="20"/>
      <c r="AK284" s="45"/>
      <c r="AL284" s="45"/>
      <c r="AM284" s="47"/>
      <c r="AN284" s="47"/>
      <c r="AO284" s="47"/>
      <c r="AP284" s="47"/>
      <c r="AQ284" s="47"/>
      <c r="AR284" s="47"/>
      <c r="AS284" s="47"/>
      <c r="AT284" s="47"/>
      <c r="AU284" s="47"/>
      <c r="AV284" s="47"/>
      <c r="AW284" s="47"/>
      <c r="BV284" s="47"/>
      <c r="CP284" s="47"/>
    </row>
    <row r="285" spans="36:94" x14ac:dyDescent="0.2">
      <c r="AJ285" s="20"/>
      <c r="AK285" s="45"/>
      <c r="AL285" s="45"/>
      <c r="AM285" s="47"/>
      <c r="AN285" s="47"/>
      <c r="AO285" s="47"/>
      <c r="AP285" s="47"/>
      <c r="AQ285" s="47"/>
      <c r="AR285" s="47"/>
      <c r="AS285" s="47"/>
      <c r="AT285" s="47"/>
      <c r="AU285" s="47"/>
      <c r="AV285" s="47"/>
      <c r="AW285" s="47"/>
      <c r="BV285" s="47"/>
      <c r="CP285" s="47"/>
    </row>
    <row r="286" spans="36:94" x14ac:dyDescent="0.2">
      <c r="AJ286" s="20"/>
      <c r="AK286" s="45"/>
      <c r="AL286" s="45"/>
      <c r="AM286" s="47"/>
      <c r="AN286" s="47"/>
      <c r="AO286" s="47"/>
      <c r="AP286" s="47"/>
      <c r="AQ286" s="47"/>
      <c r="AR286" s="47"/>
      <c r="AS286" s="47"/>
      <c r="AT286" s="47"/>
      <c r="AU286" s="47"/>
      <c r="AV286" s="47"/>
      <c r="AW286" s="47"/>
      <c r="BV286" s="47"/>
      <c r="CP286" s="47"/>
    </row>
    <row r="287" spans="36:94" x14ac:dyDescent="0.2">
      <c r="AJ287" s="20"/>
      <c r="AK287" s="45"/>
      <c r="AL287" s="45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  <c r="AW287" s="47"/>
      <c r="BV287" s="47"/>
      <c r="CP287" s="47"/>
    </row>
    <row r="288" spans="36:94" x14ac:dyDescent="0.2">
      <c r="AJ288" s="20"/>
      <c r="AK288" s="45"/>
      <c r="AL288" s="45"/>
      <c r="AM288" s="47"/>
      <c r="AN288" s="47"/>
      <c r="AO288" s="47"/>
      <c r="AP288" s="47"/>
      <c r="AQ288" s="47"/>
      <c r="AR288" s="47"/>
      <c r="AS288" s="47"/>
      <c r="AT288" s="47"/>
      <c r="AU288" s="47"/>
      <c r="AV288" s="47"/>
      <c r="AW288" s="47"/>
      <c r="BV288" s="47"/>
      <c r="CP288" s="47"/>
    </row>
    <row r="289" spans="36:94" x14ac:dyDescent="0.2">
      <c r="AJ289" s="20"/>
      <c r="AK289" s="45"/>
      <c r="AL289" s="45"/>
      <c r="AM289" s="47"/>
      <c r="AN289" s="47"/>
      <c r="AO289" s="47"/>
      <c r="AP289" s="47"/>
      <c r="AQ289" s="47"/>
      <c r="AR289" s="47"/>
      <c r="AS289" s="47"/>
      <c r="AT289" s="47"/>
      <c r="AU289" s="47"/>
      <c r="AV289" s="47"/>
      <c r="AW289" s="47"/>
      <c r="BV289" s="47"/>
      <c r="CP289" s="47"/>
    </row>
    <row r="290" spans="36:94" x14ac:dyDescent="0.2">
      <c r="AJ290" s="20"/>
      <c r="AK290" s="45"/>
      <c r="AL290" s="45"/>
      <c r="AM290" s="47"/>
      <c r="AN290" s="47"/>
      <c r="AO290" s="47"/>
      <c r="AP290" s="47"/>
      <c r="AQ290" s="47"/>
      <c r="AR290" s="47"/>
      <c r="AS290" s="47"/>
      <c r="AT290" s="47"/>
      <c r="AU290" s="47"/>
      <c r="AV290" s="47"/>
      <c r="AW290" s="47"/>
      <c r="BV290" s="47"/>
      <c r="CP290" s="47"/>
    </row>
    <row r="291" spans="36:94" x14ac:dyDescent="0.2">
      <c r="AJ291" s="20"/>
      <c r="AK291" s="45"/>
      <c r="AL291" s="45"/>
      <c r="AM291" s="47"/>
      <c r="AN291" s="47"/>
      <c r="AO291" s="47"/>
      <c r="AP291" s="47"/>
      <c r="AQ291" s="47"/>
      <c r="AR291" s="47"/>
      <c r="AS291" s="47"/>
      <c r="AT291" s="47"/>
      <c r="AU291" s="47"/>
      <c r="AV291" s="47"/>
      <c r="AW291" s="47"/>
      <c r="BV291" s="47"/>
      <c r="CP291" s="47"/>
    </row>
    <row r="292" spans="36:94" x14ac:dyDescent="0.2">
      <c r="AJ292" s="20"/>
      <c r="AK292" s="45"/>
      <c r="AL292" s="45"/>
      <c r="AM292" s="47"/>
      <c r="AN292" s="47"/>
      <c r="AO292" s="47"/>
      <c r="AP292" s="47"/>
      <c r="AQ292" s="47"/>
      <c r="AR292" s="47"/>
      <c r="AS292" s="47"/>
      <c r="AT292" s="47"/>
      <c r="AU292" s="47"/>
      <c r="AV292" s="47"/>
      <c r="AW292" s="47"/>
      <c r="BV292" s="47"/>
      <c r="CP292" s="47"/>
    </row>
    <row r="293" spans="36:94" x14ac:dyDescent="0.2">
      <c r="AJ293" s="20"/>
      <c r="AK293" s="45"/>
      <c r="AL293" s="45"/>
      <c r="AM293" s="47"/>
      <c r="AN293" s="47"/>
      <c r="AO293" s="47"/>
      <c r="AP293" s="47"/>
      <c r="AQ293" s="47"/>
      <c r="AR293" s="47"/>
      <c r="AS293" s="47"/>
      <c r="AT293" s="47"/>
      <c r="AU293" s="47"/>
      <c r="AV293" s="47"/>
      <c r="AW293" s="47"/>
      <c r="BV293" s="47"/>
      <c r="CP293" s="47"/>
    </row>
    <row r="294" spans="36:94" x14ac:dyDescent="0.2">
      <c r="AJ294" s="20"/>
      <c r="AK294" s="45"/>
      <c r="AL294" s="45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BV294" s="47"/>
      <c r="CP294" s="47"/>
    </row>
    <row r="295" spans="36:94" x14ac:dyDescent="0.2">
      <c r="AJ295" s="20"/>
      <c r="AK295" s="45"/>
      <c r="AL295" s="45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BV295" s="47"/>
      <c r="CP295" s="47"/>
    </row>
    <row r="296" spans="36:94" x14ac:dyDescent="0.2">
      <c r="AJ296" s="20"/>
      <c r="AK296" s="45"/>
      <c r="AL296" s="45"/>
      <c r="AM296" s="47"/>
      <c r="AN296" s="47"/>
      <c r="AO296" s="47"/>
      <c r="AP296" s="47"/>
      <c r="AQ296" s="47"/>
      <c r="AR296" s="47"/>
      <c r="AS296" s="47"/>
      <c r="AT296" s="47"/>
      <c r="AU296" s="47"/>
      <c r="AV296" s="47"/>
      <c r="AW296" s="47"/>
      <c r="BV296" s="47"/>
      <c r="CP296" s="47"/>
    </row>
    <row r="297" spans="36:94" x14ac:dyDescent="0.2">
      <c r="AJ297" s="20"/>
      <c r="AK297" s="45"/>
      <c r="AL297" s="45"/>
      <c r="AM297" s="47"/>
      <c r="AN297" s="47"/>
      <c r="AO297" s="47"/>
      <c r="AP297" s="47"/>
      <c r="AQ297" s="47"/>
      <c r="AR297" s="47"/>
      <c r="AS297" s="47"/>
      <c r="AT297" s="47"/>
      <c r="AU297" s="47"/>
      <c r="AV297" s="47"/>
      <c r="AW297" s="47"/>
      <c r="BV297" s="47"/>
      <c r="CP297" s="47"/>
    </row>
    <row r="298" spans="36:94" x14ac:dyDescent="0.2">
      <c r="AJ298" s="20"/>
      <c r="AK298" s="45"/>
      <c r="AL298" s="45"/>
      <c r="AM298" s="47"/>
      <c r="AN298" s="47"/>
      <c r="AO298" s="47"/>
      <c r="AP298" s="47"/>
      <c r="AQ298" s="47"/>
      <c r="AR298" s="47"/>
      <c r="AS298" s="47"/>
      <c r="AT298" s="47"/>
      <c r="AU298" s="47"/>
      <c r="AV298" s="47"/>
      <c r="AW298" s="47"/>
      <c r="BV298" s="47"/>
      <c r="CP298" s="47"/>
    </row>
    <row r="299" spans="36:94" x14ac:dyDescent="0.2">
      <c r="AJ299" s="20"/>
      <c r="AK299" s="45"/>
      <c r="AL299" s="45"/>
      <c r="AM299" s="47"/>
      <c r="AN299" s="47"/>
      <c r="AO299" s="47"/>
      <c r="AP299" s="47"/>
      <c r="AQ299" s="47"/>
      <c r="AR299" s="47"/>
      <c r="AS299" s="47"/>
      <c r="AT299" s="47"/>
      <c r="AU299" s="47"/>
      <c r="AV299" s="47"/>
      <c r="AW299" s="47"/>
      <c r="BV299" s="47"/>
      <c r="CP299" s="47"/>
    </row>
    <row r="300" spans="36:94" x14ac:dyDescent="0.2">
      <c r="AJ300" s="20"/>
      <c r="AK300" s="45"/>
      <c r="AL300" s="45"/>
      <c r="AM300" s="47"/>
      <c r="AN300" s="47"/>
      <c r="AO300" s="47"/>
      <c r="AP300" s="47"/>
      <c r="AQ300" s="47"/>
      <c r="AR300" s="47"/>
      <c r="AS300" s="47"/>
      <c r="AT300" s="47"/>
      <c r="AU300" s="47"/>
      <c r="AV300" s="47"/>
      <c r="AW300" s="47"/>
      <c r="BV300" s="47"/>
      <c r="CP300" s="47"/>
    </row>
    <row r="301" spans="36:94" x14ac:dyDescent="0.2">
      <c r="AJ301" s="20"/>
      <c r="AK301" s="45"/>
      <c r="AL301" s="45"/>
      <c r="AM301" s="47"/>
      <c r="AN301" s="47"/>
      <c r="AO301" s="47"/>
      <c r="AP301" s="47"/>
      <c r="AQ301" s="47"/>
      <c r="AR301" s="47"/>
      <c r="AS301" s="47"/>
      <c r="AT301" s="47"/>
      <c r="AU301" s="47"/>
      <c r="AV301" s="47"/>
      <c r="AW301" s="47"/>
      <c r="BV301" s="47"/>
      <c r="CP301" s="47"/>
    </row>
    <row r="302" spans="36:94" x14ac:dyDescent="0.2">
      <c r="AJ302" s="20"/>
      <c r="AK302" s="45"/>
      <c r="AL302" s="45"/>
      <c r="AM302" s="47"/>
      <c r="AN302" s="47"/>
      <c r="AO302" s="47"/>
      <c r="AP302" s="47"/>
      <c r="AQ302" s="47"/>
      <c r="AR302" s="47"/>
      <c r="AS302" s="47"/>
      <c r="AT302" s="47"/>
      <c r="AU302" s="47"/>
      <c r="AV302" s="47"/>
      <c r="AW302" s="47"/>
      <c r="BV302" s="47"/>
      <c r="CP302" s="47"/>
    </row>
    <row r="303" spans="36:94" x14ac:dyDescent="0.2">
      <c r="AJ303" s="20"/>
      <c r="AK303" s="45"/>
      <c r="AL303" s="45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  <c r="AW303" s="47"/>
      <c r="BV303" s="47"/>
      <c r="CP303" s="47"/>
    </row>
    <row r="304" spans="36:94" x14ac:dyDescent="0.2">
      <c r="AJ304" s="20"/>
      <c r="AK304" s="45"/>
      <c r="AL304" s="45"/>
      <c r="AM304" s="47"/>
      <c r="AN304" s="47"/>
      <c r="AO304" s="47"/>
      <c r="AP304" s="47"/>
      <c r="AQ304" s="47"/>
      <c r="AR304" s="47"/>
      <c r="AS304" s="47"/>
      <c r="AT304" s="47"/>
      <c r="AU304" s="47"/>
      <c r="AV304" s="47"/>
      <c r="AW304" s="47"/>
      <c r="BV304" s="47"/>
      <c r="CP304" s="47"/>
    </row>
    <row r="305" spans="36:94" x14ac:dyDescent="0.2">
      <c r="AJ305" s="20"/>
      <c r="AK305" s="45"/>
      <c r="AL305" s="45"/>
      <c r="AM305" s="47"/>
      <c r="AN305" s="47"/>
      <c r="AO305" s="47"/>
      <c r="AP305" s="47"/>
      <c r="AQ305" s="47"/>
      <c r="AR305" s="47"/>
      <c r="AS305" s="47"/>
      <c r="AT305" s="47"/>
      <c r="AU305" s="47"/>
      <c r="AV305" s="47"/>
      <c r="AW305" s="47"/>
      <c r="BV305" s="47"/>
      <c r="CP305" s="47"/>
    </row>
    <row r="306" spans="36:94" x14ac:dyDescent="0.2">
      <c r="AJ306" s="20"/>
      <c r="AK306" s="45"/>
      <c r="AL306" s="45"/>
      <c r="AM306" s="47"/>
      <c r="AN306" s="47"/>
      <c r="AO306" s="47"/>
      <c r="AP306" s="47"/>
      <c r="AQ306" s="47"/>
      <c r="AR306" s="47"/>
      <c r="AS306" s="47"/>
      <c r="AT306" s="47"/>
      <c r="AU306" s="47"/>
      <c r="AV306" s="47"/>
      <c r="AW306" s="47"/>
      <c r="BV306" s="47"/>
      <c r="CP306" s="47"/>
    </row>
    <row r="307" spans="36:94" x14ac:dyDescent="0.2">
      <c r="AJ307" s="20"/>
      <c r="AK307" s="45"/>
      <c r="AL307" s="45"/>
      <c r="AM307" s="47"/>
      <c r="AN307" s="47"/>
      <c r="AO307" s="47"/>
      <c r="AP307" s="47"/>
      <c r="AQ307" s="47"/>
      <c r="AR307" s="47"/>
      <c r="AS307" s="47"/>
      <c r="AT307" s="47"/>
      <c r="AU307" s="47"/>
      <c r="AV307" s="47"/>
      <c r="AW307" s="47"/>
      <c r="BV307" s="47"/>
      <c r="CP307" s="47"/>
    </row>
    <row r="308" spans="36:94" x14ac:dyDescent="0.2">
      <c r="AJ308" s="20"/>
      <c r="AK308" s="45"/>
      <c r="AL308" s="45"/>
      <c r="AM308" s="47"/>
      <c r="AN308" s="47"/>
      <c r="AO308" s="47"/>
      <c r="AP308" s="47"/>
      <c r="AQ308" s="47"/>
      <c r="AR308" s="47"/>
      <c r="AS308" s="47"/>
      <c r="AT308" s="47"/>
      <c r="AU308" s="47"/>
      <c r="AV308" s="47"/>
      <c r="AW308" s="47"/>
      <c r="BV308" s="47"/>
      <c r="CP308" s="47"/>
    </row>
    <row r="309" spans="36:94" x14ac:dyDescent="0.2">
      <c r="AJ309" s="20"/>
      <c r="AK309" s="45"/>
      <c r="AL309" s="45"/>
      <c r="AM309" s="47"/>
      <c r="AN309" s="47"/>
      <c r="AO309" s="47"/>
      <c r="AP309" s="47"/>
      <c r="AQ309" s="47"/>
      <c r="AR309" s="47"/>
      <c r="AS309" s="47"/>
      <c r="AT309" s="47"/>
      <c r="AU309" s="47"/>
      <c r="AV309" s="47"/>
      <c r="AW309" s="47"/>
      <c r="BV309" s="47"/>
      <c r="CP309" s="47"/>
    </row>
    <row r="310" spans="36:94" x14ac:dyDescent="0.2">
      <c r="AJ310" s="20"/>
      <c r="AK310" s="45"/>
      <c r="AL310" s="45"/>
      <c r="AM310" s="47"/>
      <c r="AN310" s="47"/>
      <c r="AO310" s="47"/>
      <c r="AP310" s="47"/>
      <c r="AQ310" s="47"/>
      <c r="AR310" s="47"/>
      <c r="AS310" s="47"/>
      <c r="AT310" s="47"/>
      <c r="AU310" s="47"/>
      <c r="AV310" s="47"/>
      <c r="AW310" s="47"/>
      <c r="BV310" s="47"/>
      <c r="CP310" s="47"/>
    </row>
    <row r="311" spans="36:94" x14ac:dyDescent="0.2">
      <c r="AJ311" s="20"/>
      <c r="AK311" s="45"/>
      <c r="AL311" s="45"/>
      <c r="AM311" s="47"/>
      <c r="AN311" s="47"/>
      <c r="AO311" s="47"/>
      <c r="AP311" s="47"/>
      <c r="AQ311" s="47"/>
      <c r="AR311" s="47"/>
      <c r="AS311" s="47"/>
      <c r="AT311" s="47"/>
      <c r="AU311" s="47"/>
      <c r="AV311" s="47"/>
      <c r="AW311" s="47"/>
      <c r="BV311" s="47"/>
      <c r="CP311" s="47"/>
    </row>
    <row r="312" spans="36:94" x14ac:dyDescent="0.2">
      <c r="AJ312" s="20"/>
      <c r="AK312" s="45"/>
      <c r="AL312" s="45"/>
      <c r="AM312" s="47"/>
      <c r="AN312" s="47"/>
      <c r="AO312" s="47"/>
      <c r="AP312" s="47"/>
      <c r="AQ312" s="47"/>
      <c r="AR312" s="47"/>
      <c r="AS312" s="47"/>
      <c r="AT312" s="47"/>
      <c r="AU312" s="47"/>
      <c r="AV312" s="47"/>
      <c r="AW312" s="47"/>
      <c r="BV312" s="47"/>
      <c r="CP312" s="47"/>
    </row>
    <row r="313" spans="36:94" x14ac:dyDescent="0.2">
      <c r="AJ313" s="20"/>
      <c r="AK313" s="45"/>
      <c r="AL313" s="45"/>
      <c r="AM313" s="47"/>
      <c r="AN313" s="47"/>
      <c r="AO313" s="47"/>
      <c r="AP313" s="47"/>
      <c r="AQ313" s="47"/>
      <c r="AR313" s="47"/>
      <c r="AS313" s="47"/>
      <c r="AT313" s="47"/>
      <c r="AU313" s="47"/>
      <c r="AV313" s="47"/>
      <c r="AW313" s="47"/>
      <c r="BV313" s="47"/>
      <c r="CP313" s="47"/>
    </row>
    <row r="314" spans="36:94" x14ac:dyDescent="0.2">
      <c r="AJ314" s="20"/>
      <c r="AK314" s="45"/>
      <c r="AL314" s="45"/>
      <c r="AM314" s="47"/>
      <c r="AN314" s="47"/>
      <c r="AO314" s="47"/>
      <c r="AP314" s="47"/>
      <c r="AQ314" s="47"/>
      <c r="AR314" s="47"/>
      <c r="AS314" s="47"/>
      <c r="AT314" s="47"/>
      <c r="AU314" s="47"/>
      <c r="AV314" s="47"/>
      <c r="AW314" s="47"/>
      <c r="BV314" s="47"/>
      <c r="CP314" s="47"/>
    </row>
    <row r="315" spans="36:94" x14ac:dyDescent="0.2">
      <c r="AJ315" s="20"/>
      <c r="AK315" s="45"/>
      <c r="AL315" s="45"/>
      <c r="AM315" s="47"/>
      <c r="AN315" s="47"/>
      <c r="AO315" s="47"/>
      <c r="AP315" s="47"/>
      <c r="AQ315" s="47"/>
      <c r="AR315" s="47"/>
      <c r="AS315" s="47"/>
      <c r="AT315" s="47"/>
      <c r="AU315" s="47"/>
      <c r="AV315" s="47"/>
      <c r="AW315" s="47"/>
      <c r="BV315" s="47"/>
      <c r="CP315" s="47"/>
    </row>
    <row r="316" spans="36:94" x14ac:dyDescent="0.2">
      <c r="AJ316" s="20"/>
      <c r="AK316" s="45"/>
      <c r="AL316" s="45"/>
      <c r="AM316" s="47"/>
      <c r="AN316" s="47"/>
      <c r="AO316" s="47"/>
      <c r="AP316" s="47"/>
      <c r="AQ316" s="47"/>
      <c r="AR316" s="47"/>
      <c r="AS316" s="47"/>
      <c r="AT316" s="47"/>
      <c r="AU316" s="47"/>
      <c r="AV316" s="47"/>
      <c r="AW316" s="47"/>
      <c r="BV316" s="47"/>
      <c r="CP316" s="47"/>
    </row>
    <row r="317" spans="36:94" x14ac:dyDescent="0.2">
      <c r="AJ317" s="20"/>
      <c r="AK317" s="45"/>
      <c r="AL317" s="45"/>
      <c r="AM317" s="47"/>
      <c r="AN317" s="47"/>
      <c r="AO317" s="47"/>
      <c r="AP317" s="47"/>
      <c r="AQ317" s="47"/>
      <c r="AR317" s="47"/>
      <c r="AS317" s="47"/>
      <c r="AT317" s="47"/>
      <c r="AU317" s="47"/>
      <c r="AV317" s="47"/>
      <c r="AW317" s="47"/>
      <c r="BV317" s="47"/>
      <c r="CP317" s="47"/>
    </row>
  </sheetData>
  <sheetProtection algorithmName="SHA-512" hashValue="dg3DU81MloaiY5HNsbhTSU42oAtblOG9e9uJO84f0jpRyCT343zq38xDit56Ld8M23x2c6EscXl7wbrvwYRkdg==" saltValue="So9j0x9XUMknYVE0iDjPXA==" spinCount="100000" sheet="1" objects="1" scenarios="1"/>
  <phoneticPr fontId="23" type="noConversion"/>
  <conditionalFormatting sqref="J12:J111">
    <cfRule type="expression" dxfId="1" priority="3">
      <formula>AND($AD12&lt;&gt;5,$AD12&lt;&gt;6)</formula>
    </cfRule>
  </conditionalFormatting>
  <conditionalFormatting sqref="S17:U111">
    <cfRule type="expression" dxfId="0" priority="1">
      <formula>$A17</formula>
    </cfRule>
  </conditionalFormatting>
  <dataValidations count="9">
    <dataValidation type="list" allowBlank="1" showInputMessage="1" showErrorMessage="1" sqref="B2 B4" xr:uid="{AFD83454-3471-496D-843F-5BE398528784}">
      <formula1>"D,F,I"</formula1>
    </dataValidation>
    <dataValidation type="list" allowBlank="1" showInputMessage="1" showErrorMessage="1" sqref="H12:H111" xr:uid="{CD1FDE3E-FFD4-48ED-9C68-68B5DDDD1D26}">
      <formula1>INDEX(Use,,$B$1)</formula1>
    </dataValidation>
    <dataValidation type="list" allowBlank="1" showInputMessage="1" showErrorMessage="1" sqref="I12:I111" xr:uid="{4ACF4D14-F77D-4CF6-AAFB-2057D62EC8E2}">
      <formula1>INDEX(Medium,,$B$1)</formula1>
    </dataValidation>
    <dataValidation type="decimal" allowBlank="1" showInputMessage="1" showErrorMessage="1" sqref="K1:K1048576 L112:L1048576" xr:uid="{F2EBDB04-26C7-47BB-A69F-C1CF4CD8D6F7}">
      <formula1>0</formula1>
      <formula2>250</formula2>
    </dataValidation>
    <dataValidation type="list" allowBlank="1" showInputMessage="1" showErrorMessage="1" sqref="J12:J111" xr:uid="{326AABB5-B240-441A-96CC-BC8C4D39F3EF}">
      <formula1>"x"</formula1>
    </dataValidation>
    <dataValidation type="list" allowBlank="1" showInputMessage="1" showErrorMessage="1" sqref="G12:G111" xr:uid="{134040A6-DC71-44B0-92B4-C37AD70A42E8}">
      <formula1>INDEX(Loc,,$B$1)</formula1>
    </dataValidation>
    <dataValidation type="decimal" allowBlank="1" showInputMessage="1" showErrorMessage="1" sqref="L12:L111" xr:uid="{0E0567B6-707C-4273-BA42-EA6BBCA68157}">
      <formula1>20</formula1>
      <formula2>35</formula2>
    </dataValidation>
    <dataValidation type="date" allowBlank="1" showInputMessage="1" showErrorMessage="1" sqref="AA12:AA111" xr:uid="{46DAB69C-7454-4517-AE9C-89687D059DED}">
      <formula1>44562</formula1>
      <formula2>47848</formula2>
    </dataValidation>
    <dataValidation type="decimal" operator="greaterThan" allowBlank="1" showInputMessage="1" showErrorMessage="1" sqref="S12:U111 N12:P111" xr:uid="{C21FF527-8DDB-4E32-9E80-045C806356FE}">
      <formula1>0</formula1>
    </dataValidation>
  </dataValidations>
  <hyperlinks>
    <hyperlink ref="W10" r:id="rId1" xr:uid="{B43BA45F-5CE4-4C9B-B88D-CF540B4400C6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Q10:R1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5CE69D-1CCC-4713-A347-20BE7E53FC1A}">
          <x14:formula1>
            <xm:f>Z!$A$2:$A$4111</xm:f>
          </x14:formula1>
          <xm:sqref>E12:E111 Y12:Y111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K85"/>
  <sheetViews>
    <sheetView topLeftCell="A22" workbookViewId="0">
      <selection activeCell="D30" sqref="D30"/>
    </sheetView>
  </sheetViews>
  <sheetFormatPr baseColWidth="10" defaultColWidth="9.140625" defaultRowHeight="12.75" x14ac:dyDescent="0.2"/>
  <cols>
    <col min="1" max="1" width="9.140625" style="2"/>
    <col min="2" max="2" width="32.5703125" style="2" bestFit="1" customWidth="1"/>
    <col min="3" max="3" width="44.7109375" style="2" bestFit="1" customWidth="1"/>
    <col min="4" max="4" width="48.28515625" style="2" bestFit="1" customWidth="1"/>
    <col min="5" max="16384" width="9.140625" style="2"/>
  </cols>
  <sheetData>
    <row r="1" spans="1:4" x14ac:dyDescent="0.2">
      <c r="A1" s="2">
        <v>1</v>
      </c>
      <c r="B1" s="3" t="s">
        <v>4467</v>
      </c>
      <c r="C1" s="3" t="s">
        <v>4471</v>
      </c>
      <c r="D1" s="3" t="s">
        <v>4502</v>
      </c>
    </row>
    <row r="2" spans="1:4" x14ac:dyDescent="0.2">
      <c r="A2" s="2">
        <v>2</v>
      </c>
      <c r="B2" s="3" t="s">
        <v>4469</v>
      </c>
      <c r="C2" s="3" t="s">
        <v>4470</v>
      </c>
      <c r="D2" s="3" t="s">
        <v>4501</v>
      </c>
    </row>
    <row r="3" spans="1:4" x14ac:dyDescent="0.2">
      <c r="A3" s="2">
        <v>3</v>
      </c>
      <c r="B3" s="3" t="s">
        <v>4563</v>
      </c>
      <c r="C3" s="3" t="s">
        <v>4564</v>
      </c>
      <c r="D3" s="3" t="s">
        <v>4537</v>
      </c>
    </row>
    <row r="4" spans="1:4" x14ac:dyDescent="0.2">
      <c r="A4" s="2">
        <v>4</v>
      </c>
      <c r="B4" s="3" t="s">
        <v>4566</v>
      </c>
      <c r="C4" s="3" t="s">
        <v>4565</v>
      </c>
      <c r="D4" s="3" t="s">
        <v>4538</v>
      </c>
    </row>
    <row r="5" spans="1:4" x14ac:dyDescent="0.2">
      <c r="A5" s="2">
        <v>5</v>
      </c>
      <c r="B5" s="3" t="s">
        <v>4472</v>
      </c>
      <c r="C5" s="3" t="s">
        <v>4473</v>
      </c>
      <c r="D5" s="3" t="s">
        <v>4509</v>
      </c>
    </row>
    <row r="6" spans="1:4" x14ac:dyDescent="0.2">
      <c r="A6" s="2">
        <v>6</v>
      </c>
      <c r="B6" s="3" t="s">
        <v>4486</v>
      </c>
      <c r="C6" s="3" t="s">
        <v>4487</v>
      </c>
      <c r="D6" s="3" t="s">
        <v>4512</v>
      </c>
    </row>
    <row r="7" spans="1:4" x14ac:dyDescent="0.2">
      <c r="A7" s="2">
        <v>7</v>
      </c>
      <c r="B7" s="3" t="s">
        <v>4488</v>
      </c>
      <c r="C7" s="3" t="s">
        <v>4489</v>
      </c>
      <c r="D7" s="3" t="s">
        <v>4532</v>
      </c>
    </row>
    <row r="8" spans="1:4" x14ac:dyDescent="0.2">
      <c r="A8" s="2">
        <v>8</v>
      </c>
      <c r="B8" s="3" t="s">
        <v>4491</v>
      </c>
      <c r="C8" s="3" t="s">
        <v>4490</v>
      </c>
      <c r="D8" s="3" t="s">
        <v>4513</v>
      </c>
    </row>
    <row r="9" spans="1:4" x14ac:dyDescent="0.2">
      <c r="A9" s="2">
        <v>9</v>
      </c>
      <c r="B9" s="3" t="s">
        <v>4493</v>
      </c>
      <c r="C9" s="3" t="s">
        <v>4492</v>
      </c>
      <c r="D9" s="3" t="s">
        <v>4514</v>
      </c>
    </row>
    <row r="10" spans="1:4" x14ac:dyDescent="0.2">
      <c r="A10" s="2">
        <v>10</v>
      </c>
      <c r="B10" s="3" t="s">
        <v>4474</v>
      </c>
      <c r="C10" s="3" t="s">
        <v>4475</v>
      </c>
      <c r="D10" s="3" t="s">
        <v>4547</v>
      </c>
    </row>
    <row r="11" spans="1:4" x14ac:dyDescent="0.2">
      <c r="A11" s="2">
        <v>11</v>
      </c>
      <c r="B11" s="3" t="s">
        <v>4476</v>
      </c>
      <c r="C11" s="3" t="s">
        <v>4477</v>
      </c>
      <c r="D11" s="3" t="s">
        <v>4503</v>
      </c>
    </row>
    <row r="12" spans="1:4" x14ac:dyDescent="0.2">
      <c r="A12" s="2">
        <v>12</v>
      </c>
      <c r="B12" s="3" t="s">
        <v>4478</v>
      </c>
      <c r="C12" s="3" t="s">
        <v>4478</v>
      </c>
      <c r="D12" s="3" t="s">
        <v>4504</v>
      </c>
    </row>
    <row r="13" spans="1:4" x14ac:dyDescent="0.2">
      <c r="A13" s="2">
        <v>13</v>
      </c>
      <c r="B13" s="3" t="s">
        <v>4465</v>
      </c>
      <c r="C13" s="3" t="s">
        <v>4481</v>
      </c>
      <c r="D13" s="3" t="s">
        <v>4481</v>
      </c>
    </row>
    <row r="14" spans="1:4" x14ac:dyDescent="0.2">
      <c r="A14" s="2">
        <v>14</v>
      </c>
      <c r="B14" s="3" t="s">
        <v>4479</v>
      </c>
      <c r="C14" s="3" t="s">
        <v>4480</v>
      </c>
      <c r="D14" s="3" t="s">
        <v>4505</v>
      </c>
    </row>
    <row r="15" spans="1:4" x14ac:dyDescent="0.2">
      <c r="A15" s="2">
        <v>15</v>
      </c>
      <c r="B15" s="3" t="s">
        <v>0</v>
      </c>
      <c r="C15" s="3" t="s">
        <v>4482</v>
      </c>
      <c r="D15" s="3" t="s">
        <v>4506</v>
      </c>
    </row>
    <row r="16" spans="1:4" x14ac:dyDescent="0.2">
      <c r="A16" s="2">
        <v>16</v>
      </c>
      <c r="B16" s="3" t="s">
        <v>4516</v>
      </c>
      <c r="C16" s="3" t="s">
        <v>4517</v>
      </c>
      <c r="D16" s="3" t="s">
        <v>4518</v>
      </c>
    </row>
    <row r="17" spans="1:4" x14ac:dyDescent="0.2">
      <c r="A17" s="2">
        <v>17</v>
      </c>
      <c r="B17" s="3" t="s">
        <v>4520</v>
      </c>
      <c r="C17" s="3" t="s">
        <v>4519</v>
      </c>
      <c r="D17" s="3" t="s">
        <v>4533</v>
      </c>
    </row>
    <row r="18" spans="1:4" x14ac:dyDescent="0.2">
      <c r="A18" s="2">
        <v>18</v>
      </c>
      <c r="B18" s="3" t="s">
        <v>4474</v>
      </c>
      <c r="C18" s="3" t="s">
        <v>4475</v>
      </c>
      <c r="D18" s="3" t="s">
        <v>4547</v>
      </c>
    </row>
    <row r="19" spans="1:4" x14ac:dyDescent="0.2">
      <c r="A19" s="2">
        <v>19</v>
      </c>
      <c r="B19" s="3" t="s">
        <v>4544</v>
      </c>
      <c r="C19" s="3" t="s">
        <v>4545</v>
      </c>
      <c r="D19" s="3" t="s">
        <v>4546</v>
      </c>
    </row>
    <row r="20" spans="1:4" x14ac:dyDescent="0.2">
      <c r="A20" s="2">
        <v>20</v>
      </c>
      <c r="B20" s="3" t="s">
        <v>4483</v>
      </c>
      <c r="C20" s="3" t="s">
        <v>4484</v>
      </c>
      <c r="D20" s="3" t="s">
        <v>4507</v>
      </c>
    </row>
    <row r="21" spans="1:4" x14ac:dyDescent="0.2">
      <c r="A21" s="2">
        <v>21</v>
      </c>
      <c r="B21" s="3" t="s">
        <v>4496</v>
      </c>
      <c r="C21" s="3" t="s">
        <v>4497</v>
      </c>
      <c r="D21" s="3" t="s">
        <v>4498</v>
      </c>
    </row>
    <row r="22" spans="1:4" x14ac:dyDescent="0.2">
      <c r="A22" s="2">
        <v>22</v>
      </c>
      <c r="B22" s="3" t="s">
        <v>4511</v>
      </c>
      <c r="C22" s="3" t="s">
        <v>4499</v>
      </c>
      <c r="D22" s="3" t="s">
        <v>4500</v>
      </c>
    </row>
    <row r="23" spans="1:4" x14ac:dyDescent="0.2">
      <c r="A23" s="2">
        <v>23</v>
      </c>
      <c r="B23" s="3" t="s">
        <v>4525</v>
      </c>
      <c r="C23" s="3" t="s">
        <v>4526</v>
      </c>
      <c r="D23" s="3" t="s">
        <v>4527</v>
      </c>
    </row>
    <row r="24" spans="1:4" x14ac:dyDescent="0.2">
      <c r="A24" s="2">
        <v>24</v>
      </c>
      <c r="B24" s="3" t="s">
        <v>4528</v>
      </c>
      <c r="C24" s="3" t="s">
        <v>4529</v>
      </c>
      <c r="D24" s="3" t="s">
        <v>4530</v>
      </c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4485</v>
      </c>
      <c r="C26" s="3" t="s">
        <v>4462</v>
      </c>
      <c r="D26" s="3" t="s">
        <v>4508</v>
      </c>
    </row>
    <row r="27" spans="1:4" x14ac:dyDescent="0.2">
      <c r="A27" s="2">
        <v>27</v>
      </c>
      <c r="B27" s="3" t="s">
        <v>4494</v>
      </c>
      <c r="C27" s="3" t="s">
        <v>4495</v>
      </c>
      <c r="D27" s="3" t="s">
        <v>4515</v>
      </c>
    </row>
    <row r="28" spans="1:4" x14ac:dyDescent="0.2">
      <c r="A28" s="2">
        <v>28</v>
      </c>
      <c r="B28" s="3" t="s">
        <v>4567</v>
      </c>
      <c r="C28" s="3" t="s">
        <v>4568</v>
      </c>
      <c r="D28" s="3" t="s">
        <v>4569</v>
      </c>
    </row>
    <row r="29" spans="1:4" x14ac:dyDescent="0.2">
      <c r="A29" s="2">
        <v>29</v>
      </c>
      <c r="B29" s="3"/>
      <c r="C29" s="3"/>
      <c r="D29" s="3"/>
    </row>
    <row r="30" spans="1:4" x14ac:dyDescent="0.2">
      <c r="A30" s="2">
        <v>30</v>
      </c>
      <c r="B30" s="3" t="s">
        <v>4534</v>
      </c>
      <c r="C30" s="3" t="s">
        <v>4535</v>
      </c>
      <c r="D30" s="3" t="s">
        <v>4536</v>
      </c>
    </row>
    <row r="31" spans="1:4" x14ac:dyDescent="0.2">
      <c r="A31" s="2">
        <v>31</v>
      </c>
      <c r="B31" s="35" t="s">
        <v>4591</v>
      </c>
      <c r="C31" s="35" t="s">
        <v>4592</v>
      </c>
      <c r="D31" s="35" t="s">
        <v>4593</v>
      </c>
    </row>
    <row r="32" spans="1:4" x14ac:dyDescent="0.2">
      <c r="A32" s="2">
        <v>32</v>
      </c>
      <c r="B32" s="35" t="s">
        <v>4595</v>
      </c>
      <c r="C32" s="35" t="s">
        <v>4596</v>
      </c>
      <c r="D32" s="35" t="s">
        <v>4616</v>
      </c>
    </row>
    <row r="33" spans="1:6" x14ac:dyDescent="0.2">
      <c r="A33" s="2">
        <v>33</v>
      </c>
      <c r="B33" s="35" t="s">
        <v>4541</v>
      </c>
      <c r="C33" s="35" t="s">
        <v>4542</v>
      </c>
      <c r="D33" s="35" t="s">
        <v>4543</v>
      </c>
    </row>
    <row r="34" spans="1:6" x14ac:dyDescent="0.2">
      <c r="A34" s="2">
        <v>34</v>
      </c>
      <c r="B34" s="3" t="s">
        <v>4531</v>
      </c>
      <c r="C34" s="3" t="s">
        <v>4523</v>
      </c>
      <c r="D34" s="3" t="s">
        <v>4524</v>
      </c>
    </row>
    <row r="35" spans="1:6" x14ac:dyDescent="0.2">
      <c r="A35" s="2">
        <v>35</v>
      </c>
      <c r="B35" s="35" t="s">
        <v>4637</v>
      </c>
      <c r="C35" s="35" t="s">
        <v>4640</v>
      </c>
      <c r="D35" s="35" t="s">
        <v>4641</v>
      </c>
    </row>
    <row r="36" spans="1:6" x14ac:dyDescent="0.2">
      <c r="A36" s="2">
        <v>36</v>
      </c>
      <c r="B36" s="35" t="s">
        <v>4556</v>
      </c>
      <c r="C36" s="35" t="s">
        <v>4594</v>
      </c>
      <c r="D36" s="35" t="s">
        <v>4617</v>
      </c>
    </row>
    <row r="37" spans="1:6" x14ac:dyDescent="0.2">
      <c r="A37" s="2">
        <v>37</v>
      </c>
      <c r="B37" s="35" t="s">
        <v>4638</v>
      </c>
      <c r="C37" s="35" t="s">
        <v>4639</v>
      </c>
      <c r="D37" s="35" t="s">
        <v>4642</v>
      </c>
    </row>
    <row r="38" spans="1:6" x14ac:dyDescent="0.2">
      <c r="A38" s="2">
        <v>38</v>
      </c>
      <c r="B38" s="3"/>
      <c r="C38" s="3"/>
      <c r="D38" s="3"/>
    </row>
    <row r="39" spans="1:6" x14ac:dyDescent="0.2">
      <c r="A39" s="2">
        <v>39</v>
      </c>
      <c r="B39" s="3"/>
      <c r="C39" s="3"/>
      <c r="D39" s="3"/>
    </row>
    <row r="40" spans="1:6" x14ac:dyDescent="0.2">
      <c r="A40" s="2">
        <v>40</v>
      </c>
      <c r="B40" s="53" t="s">
        <v>4548</v>
      </c>
      <c r="C40" s="53" t="s">
        <v>4605</v>
      </c>
      <c r="D40" s="53" t="s">
        <v>4612</v>
      </c>
      <c r="E40" s="53">
        <v>7</v>
      </c>
      <c r="F40" s="54">
        <v>0</v>
      </c>
    </row>
    <row r="41" spans="1:6" x14ac:dyDescent="0.2">
      <c r="A41" s="2">
        <v>41</v>
      </c>
      <c r="B41" s="53" t="s">
        <v>4549</v>
      </c>
      <c r="C41" s="53" t="s">
        <v>4606</v>
      </c>
      <c r="D41" s="53" t="s">
        <v>4613</v>
      </c>
      <c r="E41" s="53">
        <v>3</v>
      </c>
      <c r="F41" s="54">
        <v>0</v>
      </c>
    </row>
    <row r="42" spans="1:6" x14ac:dyDescent="0.2">
      <c r="A42" s="2">
        <v>42</v>
      </c>
      <c r="B42" s="53" t="s">
        <v>4550</v>
      </c>
      <c r="C42" s="53" t="s">
        <v>4607</v>
      </c>
      <c r="D42" s="53" t="s">
        <v>4614</v>
      </c>
      <c r="E42" s="53">
        <v>-10</v>
      </c>
      <c r="F42" s="54">
        <v>0.4</v>
      </c>
    </row>
    <row r="43" spans="1:6" x14ac:dyDescent="0.2">
      <c r="A43" s="2">
        <v>43</v>
      </c>
      <c r="B43" s="53" t="s">
        <v>4551</v>
      </c>
      <c r="C43" s="53" t="s">
        <v>4608</v>
      </c>
      <c r="D43" s="53" t="s">
        <v>4615</v>
      </c>
      <c r="E43" s="53">
        <v>-30</v>
      </c>
      <c r="F43" s="54">
        <v>0.6</v>
      </c>
    </row>
    <row r="44" spans="1:6" x14ac:dyDescent="0.2">
      <c r="A44" s="2">
        <v>44</v>
      </c>
      <c r="B44" s="53" t="s">
        <v>4552</v>
      </c>
      <c r="C44" s="53" t="s">
        <v>4603</v>
      </c>
      <c r="D44" s="53" t="s">
        <v>4601</v>
      </c>
      <c r="E44" s="53">
        <v>13</v>
      </c>
      <c r="F44" s="54">
        <v>0.8</v>
      </c>
    </row>
    <row r="45" spans="1:6" x14ac:dyDescent="0.2">
      <c r="A45" s="2">
        <v>45</v>
      </c>
      <c r="B45" s="53" t="s">
        <v>4553</v>
      </c>
      <c r="C45" s="53" t="s">
        <v>4604</v>
      </c>
      <c r="D45" s="53" t="s">
        <v>4602</v>
      </c>
      <c r="E45" s="53">
        <v>20</v>
      </c>
      <c r="F45" s="54">
        <v>0.8</v>
      </c>
    </row>
    <row r="46" spans="1:6" x14ac:dyDescent="0.2">
      <c r="A46" s="2">
        <v>46</v>
      </c>
      <c r="B46" s="53" t="s">
        <v>4610</v>
      </c>
      <c r="C46" s="53" t="s">
        <v>4609</v>
      </c>
      <c r="D46" s="53" t="s">
        <v>4611</v>
      </c>
      <c r="E46" s="53">
        <v>8</v>
      </c>
      <c r="F46" s="54">
        <v>0.8</v>
      </c>
    </row>
    <row r="47" spans="1:6" x14ac:dyDescent="0.2">
      <c r="A47" s="2">
        <v>47</v>
      </c>
      <c r="B47" s="3"/>
      <c r="C47" s="3"/>
      <c r="D47" s="3"/>
    </row>
    <row r="48" spans="1:6" x14ac:dyDescent="0.2">
      <c r="A48" s="2">
        <v>48</v>
      </c>
      <c r="B48" s="3" t="s">
        <v>4554</v>
      </c>
      <c r="C48" s="3" t="s">
        <v>4558</v>
      </c>
      <c r="D48" s="3" t="s">
        <v>4597</v>
      </c>
    </row>
    <row r="49" spans="1:11" x14ac:dyDescent="0.2">
      <c r="A49" s="2">
        <v>49</v>
      </c>
      <c r="B49" s="3" t="s">
        <v>4555</v>
      </c>
      <c r="C49" s="3" t="s">
        <v>4557</v>
      </c>
      <c r="D49" s="3" t="s">
        <v>4598</v>
      </c>
    </row>
    <row r="50" spans="1:11" x14ac:dyDescent="0.2">
      <c r="A50" s="2">
        <v>50</v>
      </c>
      <c r="B50" s="3" t="s">
        <v>4559</v>
      </c>
      <c r="C50" s="3" t="s">
        <v>4560</v>
      </c>
      <c r="D50" s="3" t="s">
        <v>4599</v>
      </c>
    </row>
    <row r="51" spans="1:11" x14ac:dyDescent="0.2">
      <c r="A51" s="2">
        <v>51</v>
      </c>
      <c r="B51" s="3" t="s">
        <v>4562</v>
      </c>
      <c r="C51" s="3" t="s">
        <v>4561</v>
      </c>
      <c r="D51" s="3" t="s">
        <v>4600</v>
      </c>
    </row>
    <row r="52" spans="1:11" ht="25.5" x14ac:dyDescent="0.2">
      <c r="A52" s="2">
        <v>52</v>
      </c>
      <c r="B52" s="35" t="s">
        <v>4657</v>
      </c>
      <c r="C52" s="35" t="s">
        <v>4658</v>
      </c>
      <c r="D52" s="35" t="s">
        <v>4659</v>
      </c>
      <c r="E52" s="56"/>
      <c r="F52" s="56"/>
      <c r="G52" s="56"/>
      <c r="H52" s="56"/>
      <c r="I52" s="56"/>
      <c r="J52" s="56"/>
    </row>
    <row r="53" spans="1:11" x14ac:dyDescent="0.2">
      <c r="A53" s="2">
        <v>53</v>
      </c>
      <c r="B53" s="3" t="s">
        <v>4646</v>
      </c>
      <c r="C53" s="3" t="s">
        <v>4647</v>
      </c>
      <c r="D53" s="3" t="s">
        <v>4648</v>
      </c>
      <c r="E53" s="56"/>
      <c r="F53" s="56"/>
      <c r="G53" s="56"/>
      <c r="H53" s="56"/>
      <c r="I53" s="56"/>
      <c r="J53" s="56"/>
      <c r="K53" s="56"/>
    </row>
    <row r="54" spans="1:11" x14ac:dyDescent="0.2">
      <c r="A54" s="2">
        <v>54</v>
      </c>
      <c r="B54" s="3" t="s">
        <v>4649</v>
      </c>
      <c r="C54" s="3" t="s">
        <v>4650</v>
      </c>
      <c r="D54" s="3" t="s">
        <v>4651</v>
      </c>
      <c r="E54" s="56"/>
      <c r="F54" s="56"/>
      <c r="G54" s="56"/>
      <c r="H54" s="56"/>
      <c r="I54" s="56"/>
      <c r="J54" s="56"/>
      <c r="K54" s="56"/>
    </row>
    <row r="55" spans="1:11" x14ac:dyDescent="0.2">
      <c r="A55" s="2">
        <v>55</v>
      </c>
      <c r="B55" s="3" t="s">
        <v>4652</v>
      </c>
      <c r="C55" s="3" t="s">
        <v>4653</v>
      </c>
      <c r="D55" s="3" t="s">
        <v>4654</v>
      </c>
      <c r="E55" s="56"/>
      <c r="F55" s="56"/>
      <c r="G55" s="56"/>
      <c r="H55" s="56"/>
      <c r="I55" s="56"/>
      <c r="J55" s="56"/>
      <c r="K55" s="56"/>
    </row>
    <row r="56" spans="1:11" x14ac:dyDescent="0.2">
      <c r="A56" s="2">
        <v>56</v>
      </c>
      <c r="B56" s="3"/>
      <c r="C56" s="3"/>
      <c r="D56" s="3"/>
      <c r="E56" s="56"/>
      <c r="F56" s="56"/>
      <c r="G56" s="56"/>
      <c r="H56" s="56"/>
      <c r="I56" s="56"/>
      <c r="J56" s="56"/>
    </row>
    <row r="57" spans="1:11" x14ac:dyDescent="0.2">
      <c r="A57" s="2">
        <v>57</v>
      </c>
      <c r="B57" s="3"/>
      <c r="C57" s="3"/>
      <c r="D57" s="3"/>
      <c r="E57" s="56"/>
      <c r="F57" s="56"/>
      <c r="G57" s="56"/>
      <c r="H57" s="56"/>
      <c r="I57" s="56"/>
      <c r="J57" s="56"/>
    </row>
    <row r="58" spans="1:11" x14ac:dyDescent="0.2">
      <c r="A58" s="2">
        <v>58</v>
      </c>
      <c r="B58" s="3"/>
      <c r="C58" s="3"/>
      <c r="D58" s="3"/>
      <c r="E58" s="56"/>
      <c r="F58" s="56"/>
      <c r="G58" s="56"/>
      <c r="H58" s="56"/>
      <c r="I58" s="56"/>
      <c r="J58" s="56"/>
    </row>
    <row r="59" spans="1:11" x14ac:dyDescent="0.2">
      <c r="A59" s="2">
        <v>59</v>
      </c>
      <c r="B59" s="3"/>
      <c r="C59" s="3"/>
      <c r="D59" s="3"/>
      <c r="E59" s="56"/>
      <c r="F59" s="56"/>
      <c r="G59" s="56"/>
      <c r="H59" s="56"/>
      <c r="I59" s="56"/>
      <c r="J59" s="56"/>
    </row>
    <row r="60" spans="1:11" x14ac:dyDescent="0.2">
      <c r="A60" s="2">
        <v>60</v>
      </c>
      <c r="B60" s="3" t="s">
        <v>4660</v>
      </c>
      <c r="C60" s="3" t="s">
        <v>4661</v>
      </c>
      <c r="D60" s="3" t="s">
        <v>4662</v>
      </c>
      <c r="E60" s="56"/>
      <c r="F60" s="56"/>
      <c r="G60" s="56"/>
      <c r="H60" s="56"/>
      <c r="I60" s="56"/>
      <c r="J60" s="56"/>
    </row>
    <row r="61" spans="1:11" x14ac:dyDescent="0.2">
      <c r="A61" s="2">
        <v>61</v>
      </c>
      <c r="B61" s="3" t="s">
        <v>4663</v>
      </c>
      <c r="C61" s="3" t="s">
        <v>4664</v>
      </c>
      <c r="D61" s="3" t="s">
        <v>4665</v>
      </c>
    </row>
    <row r="62" spans="1:11" x14ac:dyDescent="0.2">
      <c r="A62" s="2">
        <v>62</v>
      </c>
      <c r="B62" s="3"/>
      <c r="C62" s="3"/>
      <c r="D62" s="3"/>
    </row>
    <row r="63" spans="1:11" x14ac:dyDescent="0.2">
      <c r="A63" s="2">
        <v>63</v>
      </c>
      <c r="B63" s="3"/>
      <c r="C63" s="3"/>
      <c r="D63" s="3"/>
    </row>
    <row r="64" spans="1:11" x14ac:dyDescent="0.2">
      <c r="A64" s="2">
        <v>64</v>
      </c>
      <c r="B64" s="3"/>
      <c r="C64" s="3"/>
      <c r="D64" s="3"/>
    </row>
    <row r="65" spans="1:4" x14ac:dyDescent="0.2">
      <c r="A65" s="2">
        <v>65</v>
      </c>
      <c r="B65" s="3"/>
      <c r="C65" s="3"/>
      <c r="D65" s="3"/>
    </row>
    <row r="66" spans="1:4" x14ac:dyDescent="0.2">
      <c r="A66" s="2">
        <v>66</v>
      </c>
      <c r="B66" s="3"/>
      <c r="C66" s="3"/>
      <c r="D66" s="3"/>
    </row>
    <row r="67" spans="1:4" x14ac:dyDescent="0.2">
      <c r="A67" s="2">
        <v>67</v>
      </c>
      <c r="B67" s="3"/>
      <c r="C67" s="3"/>
      <c r="D67" s="3"/>
    </row>
    <row r="68" spans="1:4" x14ac:dyDescent="0.2">
      <c r="A68" s="2">
        <v>68</v>
      </c>
      <c r="B68" s="3"/>
      <c r="C68" s="3"/>
      <c r="D68" s="3"/>
    </row>
    <row r="69" spans="1:4" x14ac:dyDescent="0.2">
      <c r="A69" s="2">
        <v>69</v>
      </c>
      <c r="B69" s="3"/>
      <c r="C69" s="3"/>
      <c r="D69" s="3"/>
    </row>
    <row r="70" spans="1:4" x14ac:dyDescent="0.2">
      <c r="A70" s="2">
        <v>70</v>
      </c>
      <c r="B70" s="3"/>
      <c r="C70" s="3"/>
      <c r="D70" s="3"/>
    </row>
    <row r="71" spans="1:4" x14ac:dyDescent="0.2">
      <c r="A71" s="2">
        <v>71</v>
      </c>
      <c r="B71" s="3"/>
      <c r="C71" s="3"/>
      <c r="D71" s="3"/>
    </row>
    <row r="72" spans="1:4" x14ac:dyDescent="0.2">
      <c r="A72" s="2">
        <v>72</v>
      </c>
      <c r="B72" s="3"/>
      <c r="C72" s="3"/>
      <c r="D72" s="3"/>
    </row>
    <row r="73" spans="1:4" x14ac:dyDescent="0.2">
      <c r="A73" s="2">
        <v>73</v>
      </c>
      <c r="B73" s="3"/>
      <c r="C73" s="3"/>
      <c r="D73" s="3"/>
    </row>
    <row r="74" spans="1:4" x14ac:dyDescent="0.2">
      <c r="A74" s="2">
        <v>74</v>
      </c>
      <c r="B74" s="3"/>
      <c r="C74" s="3"/>
      <c r="D74" s="3"/>
    </row>
    <row r="75" spans="1:4" x14ac:dyDescent="0.2">
      <c r="A75" s="2">
        <v>75</v>
      </c>
      <c r="B75" s="3"/>
      <c r="C75" s="3"/>
      <c r="D75" s="3"/>
    </row>
    <row r="76" spans="1:4" x14ac:dyDescent="0.2">
      <c r="A76" s="2">
        <v>76</v>
      </c>
      <c r="B76" s="3"/>
      <c r="C76" s="3"/>
      <c r="D76" s="3"/>
    </row>
    <row r="77" spans="1:4" x14ac:dyDescent="0.2">
      <c r="A77" s="2">
        <v>77</v>
      </c>
      <c r="B77" s="3"/>
      <c r="C77" s="3"/>
      <c r="D77" s="3"/>
    </row>
    <row r="78" spans="1:4" x14ac:dyDescent="0.2">
      <c r="A78" s="2">
        <v>78</v>
      </c>
      <c r="B78" s="3"/>
      <c r="C78" s="3"/>
      <c r="D78" s="3"/>
    </row>
    <row r="79" spans="1:4" x14ac:dyDescent="0.2">
      <c r="A79" s="2">
        <v>79</v>
      </c>
      <c r="B79" s="3"/>
      <c r="C79" s="3"/>
      <c r="D79" s="3"/>
    </row>
    <row r="80" spans="1:4" x14ac:dyDescent="0.2">
      <c r="A80" s="2">
        <v>80</v>
      </c>
      <c r="B80" s="3"/>
      <c r="C80" s="3"/>
      <c r="D80" s="3"/>
    </row>
    <row r="81" spans="1:4" x14ac:dyDescent="0.2">
      <c r="A81" s="2">
        <v>81</v>
      </c>
      <c r="B81" s="3"/>
      <c r="C81" s="3"/>
      <c r="D81" s="3"/>
    </row>
    <row r="82" spans="1:4" x14ac:dyDescent="0.2">
      <c r="A82" s="2">
        <v>82</v>
      </c>
      <c r="B82" s="3"/>
      <c r="C82" s="3"/>
      <c r="D82" s="3"/>
    </row>
    <row r="83" spans="1:4" x14ac:dyDescent="0.2">
      <c r="A83" s="2">
        <v>83</v>
      </c>
      <c r="B83" s="3" t="s">
        <v>4618</v>
      </c>
      <c r="C83" s="3" t="s">
        <v>4619</v>
      </c>
      <c r="D83" s="3" t="s">
        <v>4620</v>
      </c>
    </row>
    <row r="84" spans="1:4" x14ac:dyDescent="0.2">
      <c r="A84" s="2">
        <v>84</v>
      </c>
      <c r="B84" s="3" t="s">
        <v>4621</v>
      </c>
      <c r="C84" s="3" t="s">
        <v>4622</v>
      </c>
      <c r="D84" s="3" t="s">
        <v>4623</v>
      </c>
    </row>
    <row r="85" spans="1:4" x14ac:dyDescent="0.2">
      <c r="A85" s="2">
        <v>85</v>
      </c>
      <c r="B85" s="3" t="s">
        <v>4624</v>
      </c>
      <c r="C85" s="3" t="s">
        <v>4625</v>
      </c>
      <c r="D85" s="3" t="s">
        <v>4626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workbookViewId="0">
      <selection activeCell="A2" sqref="A2"/>
    </sheetView>
  </sheetViews>
  <sheetFormatPr baseColWidth="10"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4466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5</vt:i4>
      </vt:variant>
    </vt:vector>
  </HeadingPairs>
  <TitlesOfParts>
    <vt:vector size="8" baseType="lpstr">
      <vt:lpstr>Liste</vt:lpstr>
      <vt:lpstr>Y</vt:lpstr>
      <vt:lpstr>Z</vt:lpstr>
      <vt:lpstr>Clean</vt:lpstr>
      <vt:lpstr>Loc</vt:lpstr>
      <vt:lpstr>Medium</vt:lpstr>
      <vt:lpstr>Trad</vt:lpstr>
      <vt:lpstr>Use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Marchesi Simone BFE</cp:lastModifiedBy>
  <dcterms:created xsi:type="dcterms:W3CDTF">2015-06-05T18:19:34Z</dcterms:created>
  <dcterms:modified xsi:type="dcterms:W3CDTF">2024-11-29T14:48:13Z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2024-11-29T09:21:02Z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e9fa14ca-2891-4318-b0ab-68f16fe765f2</vt:lpwstr>
  </property>
  <property fmtid="{D5CDD505-2E9C-101B-9397-08002B2CF9AE}" pid="8" name="MSIP_Label_245c3252-146d-46f3-8062-82cd8c8d7e7d_ContentBits">
    <vt:lpwstr>0</vt:lpwstr>
  </property>
</Properties>
</file>